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 firstSheet="18" activeTab="18"/>
  </bookViews>
  <sheets>
    <sheet name="IMMOBILIZZAZIONI" sheetId="14" state="hidden" r:id="rId1"/>
    <sheet name="COSTO DEL PERSONALE" sheetId="15" state="hidden" r:id="rId2"/>
    <sheet name="CREDITI" sheetId="16" state="hidden" r:id="rId3"/>
    <sheet name="PATRIMONIO NETTO" sheetId="19" state="hidden" r:id="rId4"/>
    <sheet name="FORNITORI" sheetId="17" state="hidden" r:id="rId5"/>
    <sheet name="BIGLIETTERIA" sheetId="20" state="hidden" r:id="rId6"/>
    <sheet name="CONTRIBUTI" sheetId="21" state="hidden" r:id="rId7"/>
    <sheet name="COSTI" sheetId="22" state="hidden" r:id="rId8"/>
    <sheet name="SERVIZI" sheetId="23" state="hidden" r:id="rId9"/>
    <sheet name="CONSULENZE" sheetId="24" state="hidden" r:id="rId10"/>
    <sheet name="BENI DI TERZI" sheetId="25" state="hidden" r:id="rId11"/>
    <sheet name="ricavi" sheetId="1" state="hidden" r:id="rId12"/>
    <sheet name="Foglio2" sheetId="2" state="hidden" r:id="rId13"/>
    <sheet name="Foglio3" sheetId="3" state="hidden" r:id="rId14"/>
    <sheet name="Foglio4" sheetId="4" state="hidden" r:id="rId15"/>
    <sheet name="Foglio5" sheetId="5" state="hidden" r:id="rId16"/>
    <sheet name="Foglio6" sheetId="6" state="hidden" r:id="rId17"/>
    <sheet name="Foglio7" sheetId="7" state="hidden" r:id="rId18"/>
    <sheet name="COSTO DEL PERSONALE21" sheetId="8" r:id="rId19"/>
    <sheet name="Foglio9" sheetId="9" state="hidden" r:id="rId20"/>
    <sheet name="ONERI GESTIONE" sheetId="10" state="hidden" r:id="rId21"/>
    <sheet name="COPERTINA" sheetId="11" state="hidden" r:id="rId22"/>
    <sheet name="CONTR.REV." sheetId="12" state="hidden" r:id="rId23"/>
    <sheet name="INCASSI PUBBLICI" sheetId="13" state="hidden" r:id="rId24"/>
    <sheet name="Foglio1" sheetId="26" r:id="rId25"/>
  </sheets>
  <definedNames>
    <definedName name="_xlnm._FilterDatabase" localSheetId="4" hidden="1">FORNITORI!$L$37:$M$37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3" i="8" l="1"/>
  <c r="G112" i="8"/>
  <c r="G106" i="8"/>
  <c r="G105" i="8"/>
  <c r="G104" i="8"/>
  <c r="G103" i="8"/>
  <c r="G102" i="8"/>
  <c r="G89" i="8"/>
  <c r="G93" i="8"/>
  <c r="G4" i="8"/>
  <c r="G5" i="8"/>
  <c r="G6" i="8"/>
  <c r="G8" i="8"/>
  <c r="G7" i="8"/>
  <c r="G73" i="8"/>
  <c r="I68" i="8"/>
  <c r="I62" i="8"/>
  <c r="G62" i="8"/>
  <c r="G29" i="8"/>
  <c r="I46" i="8"/>
  <c r="I41" i="8"/>
  <c r="I24" i="8"/>
  <c r="I19" i="8"/>
  <c r="G26" i="8"/>
  <c r="G27" i="8" s="1"/>
  <c r="G21" i="8"/>
  <c r="H107" i="8"/>
  <c r="H96" i="8"/>
  <c r="H95" i="8"/>
  <c r="H94" i="8"/>
  <c r="H93" i="8"/>
  <c r="H92" i="8"/>
  <c r="H91" i="8"/>
  <c r="H90" i="8"/>
  <c r="H89" i="8"/>
  <c r="H97" i="8" s="1"/>
  <c r="H83" i="8"/>
  <c r="H75" i="8"/>
  <c r="H70" i="8"/>
  <c r="H64" i="8"/>
  <c r="H59" i="8"/>
  <c r="H55" i="8"/>
  <c r="H65" i="8" s="1"/>
  <c r="H48" i="8"/>
  <c r="H43" i="8"/>
  <c r="H37" i="8"/>
  <c r="H32" i="8"/>
  <c r="H38" i="8" s="1"/>
  <c r="H26" i="8"/>
  <c r="H21" i="8"/>
  <c r="H27" i="8" s="1"/>
  <c r="H5" i="8"/>
  <c r="H76" i="8" l="1"/>
  <c r="H82" i="8"/>
  <c r="H84" i="8" s="1"/>
  <c r="H49" i="8"/>
  <c r="G96" i="8"/>
  <c r="G95" i="8"/>
  <c r="G94" i="8"/>
  <c r="G92" i="8"/>
  <c r="I92" i="8" s="1"/>
  <c r="J92" i="8" s="1"/>
  <c r="G91" i="8"/>
  <c r="G90" i="8"/>
  <c r="H77" i="8" l="1"/>
  <c r="I94" i="8"/>
  <c r="J94" i="8" s="1"/>
  <c r="I104" i="8"/>
  <c r="J104" i="8" s="1"/>
  <c r="I91" i="8"/>
  <c r="J91" i="8" s="1"/>
  <c r="I96" i="8"/>
  <c r="I106" i="8"/>
  <c r="I95" i="8"/>
  <c r="J95" i="8" s="1"/>
  <c r="I93" i="8"/>
  <c r="J93" i="8" s="1"/>
  <c r="G97" i="8"/>
  <c r="I97" i="8" s="1"/>
  <c r="J97" i="8" s="1"/>
  <c r="I89" i="8"/>
  <c r="J89" i="8" s="1"/>
  <c r="I90" i="8"/>
  <c r="J90" i="8" s="1"/>
  <c r="M46" i="23"/>
  <c r="M69" i="23"/>
  <c r="M50" i="23"/>
  <c r="H54" i="23"/>
  <c r="D17" i="20" l="1"/>
  <c r="C15" i="20"/>
  <c r="E6" i="20"/>
  <c r="R184" i="24" l="1"/>
  <c r="S195" i="24"/>
  <c r="S194" i="24"/>
  <c r="S193" i="24"/>
  <c r="E24" i="12" l="1"/>
  <c r="G24" i="12" s="1"/>
  <c r="H24" i="12" s="1"/>
  <c r="E23" i="12"/>
  <c r="G23" i="12" s="1"/>
  <c r="H23" i="12" s="1"/>
  <c r="E22" i="12"/>
  <c r="G22" i="12" s="1"/>
  <c r="H22" i="12" s="1"/>
  <c r="E21" i="12"/>
  <c r="G21" i="12" s="1"/>
  <c r="H21" i="12" s="1"/>
  <c r="E20" i="12"/>
  <c r="G20" i="12" s="1"/>
  <c r="H20" i="12" s="1"/>
  <c r="E19" i="12"/>
  <c r="G19" i="12" s="1"/>
  <c r="H19" i="12" s="1"/>
  <c r="E18" i="12"/>
  <c r="F26" i="12"/>
  <c r="G25" i="12"/>
  <c r="H25" i="12" s="1"/>
  <c r="E26" i="12" l="1"/>
  <c r="G26" i="12" s="1"/>
  <c r="H26" i="12" s="1"/>
  <c r="G18" i="12"/>
  <c r="H18" i="12" s="1"/>
  <c r="M28" i="10"/>
  <c r="I73" i="8"/>
  <c r="J73" i="8" s="1"/>
  <c r="I53" i="8"/>
  <c r="J53" i="8" s="1"/>
  <c r="I15" i="8"/>
  <c r="I30" i="8"/>
  <c r="G32" i="8"/>
  <c r="E7" i="25"/>
  <c r="E6" i="25"/>
  <c r="E8" i="25" s="1"/>
  <c r="E4" i="25"/>
  <c r="F5" i="25"/>
  <c r="G5" i="25" s="1"/>
  <c r="D8" i="25"/>
  <c r="R182" i="24"/>
  <c r="R175" i="24"/>
  <c r="T149" i="24"/>
  <c r="T143" i="24"/>
  <c r="T142" i="24"/>
  <c r="R156" i="24" s="1"/>
  <c r="T140" i="24"/>
  <c r="R154" i="24" s="1"/>
  <c r="T137" i="24"/>
  <c r="T136" i="24"/>
  <c r="R157" i="24" s="1"/>
  <c r="T135" i="24"/>
  <c r="T134" i="24"/>
  <c r="R153" i="24" s="1"/>
  <c r="S150" i="24"/>
  <c r="R137" i="24"/>
  <c r="R132" i="24"/>
  <c r="T132" i="24" s="1"/>
  <c r="R149" i="24"/>
  <c r="R138" i="24"/>
  <c r="T138" i="24" s="1"/>
  <c r="R147" i="24"/>
  <c r="T147" i="24" s="1"/>
  <c r="R146" i="24"/>
  <c r="T146" i="24" s="1"/>
  <c r="R133" i="24"/>
  <c r="T133" i="24" s="1"/>
  <c r="R141" i="24"/>
  <c r="T141" i="24" s="1"/>
  <c r="R155" i="24" s="1"/>
  <c r="R148" i="24"/>
  <c r="T148" i="24" s="1"/>
  <c r="R139" i="24"/>
  <c r="T139" i="24" s="1"/>
  <c r="R145" i="24"/>
  <c r="T145" i="24" s="1"/>
  <c r="R144" i="24"/>
  <c r="T144" i="24" s="1"/>
  <c r="Q130" i="24"/>
  <c r="S130" i="24" s="1"/>
  <c r="R70" i="24"/>
  <c r="R74" i="24"/>
  <c r="R64" i="24"/>
  <c r="R72" i="24"/>
  <c r="R73" i="24"/>
  <c r="R63" i="24"/>
  <c r="R75" i="24"/>
  <c r="R71" i="24"/>
  <c r="R69" i="24"/>
  <c r="R68" i="24"/>
  <c r="R67" i="24"/>
  <c r="R66" i="24"/>
  <c r="R65" i="24"/>
  <c r="L24" i="24"/>
  <c r="L29" i="24" s="1"/>
  <c r="M29" i="24"/>
  <c r="N28" i="24"/>
  <c r="O28" i="24" s="1"/>
  <c r="N27" i="24"/>
  <c r="O27" i="24" s="1"/>
  <c r="N26" i="24"/>
  <c r="O26" i="24" s="1"/>
  <c r="N25" i="24"/>
  <c r="O25" i="24" s="1"/>
  <c r="I17" i="24"/>
  <c r="J17" i="24" s="1"/>
  <c r="I16" i="24"/>
  <c r="J16" i="24" s="1"/>
  <c r="I15" i="24"/>
  <c r="J15" i="24" s="1"/>
  <c r="H19" i="24"/>
  <c r="C11" i="24"/>
  <c r="B11" i="24"/>
  <c r="D10" i="24"/>
  <c r="E10" i="24" s="1"/>
  <c r="D9" i="24"/>
  <c r="E9" i="24" s="1"/>
  <c r="D8" i="24"/>
  <c r="E8" i="24" s="1"/>
  <c r="D7" i="24"/>
  <c r="E7" i="24" s="1"/>
  <c r="D6" i="24"/>
  <c r="E6" i="24" s="1"/>
  <c r="D5" i="24"/>
  <c r="E5" i="24" s="1"/>
  <c r="D4" i="24"/>
  <c r="E4" i="24" s="1"/>
  <c r="J83" i="23"/>
  <c r="J82" i="23"/>
  <c r="J86" i="23"/>
  <c r="K86" i="23" s="1"/>
  <c r="J85" i="23"/>
  <c r="K85" i="23" s="1"/>
  <c r="J84" i="23"/>
  <c r="K84" i="23" s="1"/>
  <c r="J81" i="23"/>
  <c r="K81" i="23" s="1"/>
  <c r="J80" i="23"/>
  <c r="K80" i="23" s="1"/>
  <c r="J79" i="23"/>
  <c r="K79" i="23" s="1"/>
  <c r="J78" i="23"/>
  <c r="K78" i="23" s="1"/>
  <c r="J77" i="23"/>
  <c r="K77" i="23" s="1"/>
  <c r="J76" i="23"/>
  <c r="K76" i="23" s="1"/>
  <c r="J75" i="23"/>
  <c r="K75" i="23" s="1"/>
  <c r="J74" i="23"/>
  <c r="K74" i="23" s="1"/>
  <c r="J73" i="23"/>
  <c r="K73" i="23" s="1"/>
  <c r="J72" i="23"/>
  <c r="K72" i="23" s="1"/>
  <c r="J71" i="23"/>
  <c r="K71" i="23" s="1"/>
  <c r="J70" i="23"/>
  <c r="K70" i="23" s="1"/>
  <c r="J69" i="23"/>
  <c r="K69" i="23" s="1"/>
  <c r="J68" i="23"/>
  <c r="J67" i="23"/>
  <c r="K67" i="23" s="1"/>
  <c r="J66" i="23"/>
  <c r="K66" i="23" s="1"/>
  <c r="J65" i="23"/>
  <c r="K65" i="23" s="1"/>
  <c r="J64" i="23"/>
  <c r="K64" i="23" s="1"/>
  <c r="J63" i="23"/>
  <c r="K63" i="23" s="1"/>
  <c r="J62" i="23"/>
  <c r="K62" i="23" s="1"/>
  <c r="J61" i="23"/>
  <c r="K61" i="23" s="1"/>
  <c r="J60" i="23"/>
  <c r="K60" i="23" s="1"/>
  <c r="J59" i="23"/>
  <c r="K59" i="23" s="1"/>
  <c r="J58" i="23"/>
  <c r="K58" i="23" s="1"/>
  <c r="J57" i="23"/>
  <c r="K57" i="23" s="1"/>
  <c r="J56" i="23"/>
  <c r="K56" i="23" s="1"/>
  <c r="J55" i="23"/>
  <c r="K55" i="23" s="1"/>
  <c r="J54" i="23"/>
  <c r="K54" i="23" s="1"/>
  <c r="J53" i="23"/>
  <c r="K53" i="23" s="1"/>
  <c r="J52" i="23"/>
  <c r="K52" i="23" s="1"/>
  <c r="J51" i="23"/>
  <c r="K51" i="23" s="1"/>
  <c r="J50" i="23"/>
  <c r="K50" i="23" s="1"/>
  <c r="J49" i="23"/>
  <c r="K49" i="23" s="1"/>
  <c r="J48" i="23"/>
  <c r="K48" i="23" s="1"/>
  <c r="J47" i="23"/>
  <c r="K47" i="23" s="1"/>
  <c r="J46" i="23"/>
  <c r="K46" i="23" s="1"/>
  <c r="J45" i="23"/>
  <c r="K45" i="23" s="1"/>
  <c r="J44" i="23"/>
  <c r="K44" i="23" s="1"/>
  <c r="J43" i="23"/>
  <c r="K43" i="23" s="1"/>
  <c r="I87" i="23"/>
  <c r="H87" i="23"/>
  <c r="J42" i="23"/>
  <c r="K42" i="23" s="1"/>
  <c r="J41" i="23"/>
  <c r="K41" i="23" s="1"/>
  <c r="F8" i="25" l="1"/>
  <c r="G8" i="25" s="1"/>
  <c r="F6" i="25"/>
  <c r="G6" i="25" s="1"/>
  <c r="F7" i="25"/>
  <c r="G7" i="25" s="1"/>
  <c r="N24" i="24"/>
  <c r="O24" i="24" s="1"/>
  <c r="F4" i="25"/>
  <c r="G4" i="25" s="1"/>
  <c r="R159" i="24"/>
  <c r="G18" i="24" s="1"/>
  <c r="G19" i="24" s="1"/>
  <c r="I19" i="24" s="1"/>
  <c r="J19" i="24" s="1"/>
  <c r="T150" i="24"/>
  <c r="R158" i="24"/>
  <c r="R150" i="24"/>
  <c r="S151" i="24" s="1"/>
  <c r="R76" i="24"/>
  <c r="R77" i="24" s="1"/>
  <c r="D11" i="24"/>
  <c r="E11" i="24" s="1"/>
  <c r="N29" i="24"/>
  <c r="O29" i="24" s="1"/>
  <c r="I14" i="24"/>
  <c r="J14" i="24" s="1"/>
  <c r="J87" i="23"/>
  <c r="K87" i="23" s="1"/>
  <c r="D13" i="23"/>
  <c r="D12" i="23"/>
  <c r="D11" i="23"/>
  <c r="D10" i="23"/>
  <c r="D9" i="23"/>
  <c r="D8" i="23"/>
  <c r="D7" i="23"/>
  <c r="D6" i="23"/>
  <c r="D5" i="23"/>
  <c r="C37" i="23"/>
  <c r="B37" i="23"/>
  <c r="B39" i="23" s="1"/>
  <c r="D36" i="23"/>
  <c r="D35" i="23"/>
  <c r="E35" i="23" s="1"/>
  <c r="D34" i="23"/>
  <c r="E34" i="23" s="1"/>
  <c r="D33" i="23"/>
  <c r="E33" i="23" s="1"/>
  <c r="D32" i="23"/>
  <c r="E32" i="23" s="1"/>
  <c r="D31" i="23"/>
  <c r="E31" i="23" s="1"/>
  <c r="D30" i="23"/>
  <c r="E30" i="23" s="1"/>
  <c r="D29" i="23"/>
  <c r="E29" i="23" s="1"/>
  <c r="D28" i="23"/>
  <c r="E28" i="23" s="1"/>
  <c r="D27" i="23"/>
  <c r="E27" i="23" s="1"/>
  <c r="D26" i="23"/>
  <c r="E26" i="23" s="1"/>
  <c r="D25" i="23"/>
  <c r="E25" i="23" s="1"/>
  <c r="D24" i="23"/>
  <c r="E24" i="23" s="1"/>
  <c r="D23" i="23"/>
  <c r="E23" i="23" s="1"/>
  <c r="D22" i="23"/>
  <c r="E22" i="23" s="1"/>
  <c r="D21" i="23"/>
  <c r="E21" i="23" s="1"/>
  <c r="D20" i="23"/>
  <c r="E20" i="23" s="1"/>
  <c r="D19" i="23"/>
  <c r="E19" i="23" s="1"/>
  <c r="D18" i="23"/>
  <c r="E18" i="23" s="1"/>
  <c r="D17" i="23"/>
  <c r="E17" i="23" s="1"/>
  <c r="D16" i="23"/>
  <c r="D15" i="23"/>
  <c r="E15" i="23" s="1"/>
  <c r="D14" i="23"/>
  <c r="E14" i="23" s="1"/>
  <c r="D3" i="23"/>
  <c r="H14" i="22"/>
  <c r="G14" i="22"/>
  <c r="I13" i="22"/>
  <c r="J13" i="22" s="1"/>
  <c r="I12" i="22"/>
  <c r="J12" i="22" s="1"/>
  <c r="I11" i="22"/>
  <c r="J11" i="22" s="1"/>
  <c r="I10" i="22"/>
  <c r="J10" i="22" s="1"/>
  <c r="I9" i="22"/>
  <c r="J9" i="22" s="1"/>
  <c r="C6" i="22"/>
  <c r="B6" i="22"/>
  <c r="D5" i="22"/>
  <c r="E5" i="22" s="1"/>
  <c r="D4" i="22"/>
  <c r="E4" i="22" s="1"/>
  <c r="D3" i="22"/>
  <c r="E3" i="22" s="1"/>
  <c r="I14" i="21"/>
  <c r="J14" i="21" s="1"/>
  <c r="I13" i="21"/>
  <c r="J13" i="21" s="1"/>
  <c r="H15" i="21"/>
  <c r="G15" i="21"/>
  <c r="I12" i="21"/>
  <c r="D7" i="21"/>
  <c r="E7" i="21" s="1"/>
  <c r="B5" i="21"/>
  <c r="B9" i="21" s="1"/>
  <c r="C5" i="21"/>
  <c r="C9" i="21" s="1"/>
  <c r="D8" i="21"/>
  <c r="E8" i="21" s="1"/>
  <c r="D6" i="21"/>
  <c r="E6" i="21" s="1"/>
  <c r="Y58" i="20"/>
  <c r="Y57" i="20"/>
  <c r="V50" i="20"/>
  <c r="X50" i="20" s="1"/>
  <c r="X51" i="20"/>
  <c r="W55" i="20"/>
  <c r="W59" i="20" s="1"/>
  <c r="X58" i="20"/>
  <c r="X57" i="20"/>
  <c r="X56" i="20"/>
  <c r="X55" i="20"/>
  <c r="Y55" i="20" s="1"/>
  <c r="X54" i="20"/>
  <c r="Y54" i="20" s="1"/>
  <c r="X53" i="20"/>
  <c r="Y53" i="20" s="1"/>
  <c r="X52" i="20"/>
  <c r="Y52" i="20" s="1"/>
  <c r="X49" i="20"/>
  <c r="Y49" i="20" s="1"/>
  <c r="X48" i="20"/>
  <c r="Y48" i="20" s="1"/>
  <c r="X47" i="20"/>
  <c r="S43" i="20"/>
  <c r="T43" i="20" s="1"/>
  <c r="S41" i="20"/>
  <c r="T41" i="20" s="1"/>
  <c r="Q44" i="20"/>
  <c r="R39" i="20"/>
  <c r="S39" i="20" s="1"/>
  <c r="T39" i="20" s="1"/>
  <c r="S42" i="20"/>
  <c r="T42" i="20" s="1"/>
  <c r="S40" i="20"/>
  <c r="T40" i="20" s="1"/>
  <c r="S38" i="20"/>
  <c r="T38" i="20" s="1"/>
  <c r="S37" i="20"/>
  <c r="T37" i="20" s="1"/>
  <c r="M33" i="20"/>
  <c r="M27" i="20"/>
  <c r="N27" i="20" s="1"/>
  <c r="O27" i="20" s="1"/>
  <c r="M26" i="20"/>
  <c r="N26" i="20" s="1"/>
  <c r="O26" i="20" s="1"/>
  <c r="M25" i="20"/>
  <c r="M21" i="20"/>
  <c r="N21" i="20" s="1"/>
  <c r="O21" i="20" s="1"/>
  <c r="M20" i="20"/>
  <c r="N20" i="20" s="1"/>
  <c r="O20" i="20" s="1"/>
  <c r="L33" i="20"/>
  <c r="N32" i="20"/>
  <c r="N31" i="20"/>
  <c r="O31" i="20" s="1"/>
  <c r="N30" i="20"/>
  <c r="O30" i="20" s="1"/>
  <c r="L28" i="20"/>
  <c r="L25" i="20"/>
  <c r="N24" i="20"/>
  <c r="O24" i="20" s="1"/>
  <c r="N23" i="20"/>
  <c r="O23" i="20" s="1"/>
  <c r="L22" i="20"/>
  <c r="G15" i="20"/>
  <c r="G17" i="20" s="1"/>
  <c r="H16" i="20"/>
  <c r="I16" i="20" s="1"/>
  <c r="J16" i="20" s="1"/>
  <c r="H15" i="20"/>
  <c r="D10" i="20"/>
  <c r="C12" i="20"/>
  <c r="B12" i="20"/>
  <c r="D11" i="20"/>
  <c r="E11" i="20" s="1"/>
  <c r="D9" i="20"/>
  <c r="E9" i="20" s="1"/>
  <c r="D8" i="20"/>
  <c r="E8" i="20" s="1"/>
  <c r="D7" i="20"/>
  <c r="E7" i="20" s="1"/>
  <c r="D6" i="20"/>
  <c r="I18" i="24" l="1"/>
  <c r="J18" i="24" s="1"/>
  <c r="R160" i="24"/>
  <c r="D37" i="23"/>
  <c r="E37" i="23" s="1"/>
  <c r="D6" i="22"/>
  <c r="E6" i="22" s="1"/>
  <c r="I14" i="22"/>
  <c r="J14" i="22" s="1"/>
  <c r="I15" i="21"/>
  <c r="J15" i="21" s="1"/>
  <c r="J12" i="21"/>
  <c r="D5" i="21"/>
  <c r="H17" i="20"/>
  <c r="R44" i="20"/>
  <c r="N33" i="20"/>
  <c r="O33" i="20" s="1"/>
  <c r="X59" i="20"/>
  <c r="Y59" i="20" s="1"/>
  <c r="Y47" i="20"/>
  <c r="V59" i="20"/>
  <c r="S44" i="20"/>
  <c r="T44" i="20" s="1"/>
  <c r="N25" i="20"/>
  <c r="O25" i="20" s="1"/>
  <c r="L34" i="20"/>
  <c r="M28" i="20"/>
  <c r="M22" i="20"/>
  <c r="M34" i="20" s="1"/>
  <c r="N28" i="20"/>
  <c r="O28" i="20" s="1"/>
  <c r="N22" i="20"/>
  <c r="O22" i="20" s="1"/>
  <c r="I17" i="20"/>
  <c r="J17" i="20" s="1"/>
  <c r="I15" i="20"/>
  <c r="J15" i="20" s="1"/>
  <c r="D12" i="20"/>
  <c r="E12" i="20" s="1"/>
  <c r="E5" i="21" l="1"/>
  <c r="D9" i="21"/>
  <c r="E9" i="21" s="1"/>
  <c r="N34" i="20"/>
  <c r="O34" i="20" s="1"/>
  <c r="M47" i="17" l="1"/>
  <c r="M44" i="17"/>
  <c r="K36" i="17"/>
  <c r="L28" i="19" l="1"/>
  <c r="M28" i="19" s="1"/>
  <c r="G17" i="19"/>
  <c r="G15" i="19"/>
  <c r="F9" i="19"/>
  <c r="I30" i="17"/>
  <c r="G19" i="17"/>
  <c r="F75" i="16" l="1"/>
  <c r="F66" i="16"/>
  <c r="F70" i="16" s="1"/>
  <c r="F61" i="16" l="1"/>
  <c r="F53" i="16"/>
  <c r="G44" i="16"/>
  <c r="F44" i="16"/>
  <c r="F20" i="16"/>
  <c r="F15" i="16"/>
  <c r="F49" i="15" l="1"/>
  <c r="F48" i="15"/>
  <c r="F47" i="15"/>
  <c r="F50" i="15"/>
  <c r="F45" i="15"/>
  <c r="F51" i="15" l="1"/>
  <c r="F53" i="15" s="1"/>
  <c r="AK82" i="14"/>
  <c r="AL86" i="14"/>
  <c r="AL82" i="14"/>
  <c r="AL81" i="14"/>
  <c r="AK81" i="14"/>
  <c r="AJ86" i="14"/>
  <c r="AI87" i="14"/>
  <c r="AJ85" i="14"/>
  <c r="AL85" i="14" s="1"/>
  <c r="AK84" i="14"/>
  <c r="AL84" i="14" s="1"/>
  <c r="AK83" i="14"/>
  <c r="AL83" i="14" s="1"/>
  <c r="AE69" i="14"/>
  <c r="AF69" i="14" s="1"/>
  <c r="AF71" i="14"/>
  <c r="AE67" i="14"/>
  <c r="AD70" i="14"/>
  <c r="AF70" i="14" s="1"/>
  <c r="AE68" i="14"/>
  <c r="AF68" i="14" s="1"/>
  <c r="AC72" i="14"/>
  <c r="Y57" i="14"/>
  <c r="Y60" i="14" s="1"/>
  <c r="X60" i="14"/>
  <c r="Z57" i="14"/>
  <c r="Z60" i="14" s="1"/>
  <c r="W60" i="14"/>
  <c r="W59" i="14"/>
  <c r="R51" i="14"/>
  <c r="Q51" i="14"/>
  <c r="T48" i="14"/>
  <c r="S48" i="14"/>
  <c r="T47" i="14"/>
  <c r="S47" i="14"/>
  <c r="T46" i="14"/>
  <c r="S46" i="14"/>
  <c r="T45" i="14"/>
  <c r="S45" i="14"/>
  <c r="T44" i="14"/>
  <c r="S44" i="14"/>
  <c r="T43" i="14"/>
  <c r="S43" i="14"/>
  <c r="T42" i="14"/>
  <c r="S42" i="14"/>
  <c r="T41" i="14"/>
  <c r="T51" i="14" s="1"/>
  <c r="S41" i="14"/>
  <c r="S40" i="14"/>
  <c r="S51" i="14" s="1"/>
  <c r="N24" i="14"/>
  <c r="N25" i="14"/>
  <c r="L30" i="14"/>
  <c r="N30" i="14" s="1"/>
  <c r="AJ87" i="14" l="1"/>
  <c r="AK87" i="14"/>
  <c r="AL87" i="14"/>
  <c r="AF72" i="14"/>
  <c r="AD72" i="14"/>
  <c r="AE72" i="14"/>
  <c r="L28" i="14"/>
  <c r="N28" i="14" s="1"/>
  <c r="L27" i="14"/>
  <c r="N27" i="14" s="1"/>
  <c r="L26" i="14"/>
  <c r="N26" i="14" s="1"/>
  <c r="L29" i="14"/>
  <c r="N29" i="14" s="1"/>
  <c r="K31" i="14"/>
  <c r="H19" i="14"/>
  <c r="H18" i="14"/>
  <c r="H17" i="14"/>
  <c r="N31" i="14" l="1"/>
  <c r="L31" i="14"/>
  <c r="H20" i="14"/>
  <c r="D12" i="14"/>
  <c r="F12" i="14" s="1"/>
  <c r="D11" i="14"/>
  <c r="D10" i="14"/>
  <c r="D9" i="14"/>
  <c r="D8" i="14"/>
  <c r="E10" i="14"/>
  <c r="E9" i="14"/>
  <c r="E8" i="14"/>
  <c r="C13" i="14"/>
  <c r="F9" i="14"/>
  <c r="F8" i="14"/>
  <c r="F10" i="14" l="1"/>
  <c r="E11" i="14"/>
  <c r="F11" i="14" s="1"/>
  <c r="D13" i="14"/>
  <c r="G12" i="12"/>
  <c r="H12" i="12" s="1"/>
  <c r="G11" i="12"/>
  <c r="H11" i="12" s="1"/>
  <c r="G10" i="12"/>
  <c r="H10" i="12" s="1"/>
  <c r="G9" i="12"/>
  <c r="H9" i="12" s="1"/>
  <c r="G8" i="12"/>
  <c r="H8" i="12" s="1"/>
  <c r="G7" i="12"/>
  <c r="H7" i="12" s="1"/>
  <c r="G6" i="12"/>
  <c r="H6" i="12" s="1"/>
  <c r="G5" i="12"/>
  <c r="H5" i="12" s="1"/>
  <c r="I17" i="10"/>
  <c r="I16" i="10"/>
  <c r="J16" i="10" s="1"/>
  <c r="I15" i="10"/>
  <c r="J15" i="10" s="1"/>
  <c r="I14" i="10"/>
  <c r="J14" i="10" s="1"/>
  <c r="I13" i="10"/>
  <c r="I12" i="10"/>
  <c r="J12" i="10" s="1"/>
  <c r="I11" i="10"/>
  <c r="J11" i="10" s="1"/>
  <c r="I10" i="10"/>
  <c r="J10" i="10" s="1"/>
  <c r="I9" i="10"/>
  <c r="J9" i="10" s="1"/>
  <c r="I8" i="10"/>
  <c r="I7" i="10"/>
  <c r="J7" i="10" s="1"/>
  <c r="I6" i="10"/>
  <c r="J6" i="10" s="1"/>
  <c r="I5" i="10"/>
  <c r="J5" i="10" s="1"/>
  <c r="G18" i="10"/>
  <c r="H18" i="10"/>
  <c r="G5" i="9"/>
  <c r="H115" i="8"/>
  <c r="H117" i="8" s="1"/>
  <c r="H118" i="8" s="1"/>
  <c r="G75" i="8"/>
  <c r="G70" i="8"/>
  <c r="G64" i="8"/>
  <c r="G59" i="8"/>
  <c r="G55" i="8"/>
  <c r="G48" i="8"/>
  <c r="G82" i="8" s="1"/>
  <c r="G43" i="8"/>
  <c r="G83" i="8" s="1"/>
  <c r="G37" i="8"/>
  <c r="I67" i="8"/>
  <c r="J67" i="8" s="1"/>
  <c r="I74" i="8"/>
  <c r="J74" i="8" s="1"/>
  <c r="I72" i="8"/>
  <c r="J72" i="8" s="1"/>
  <c r="I71" i="8"/>
  <c r="J71" i="8" s="1"/>
  <c r="I69" i="8"/>
  <c r="J69" i="8" s="1"/>
  <c r="I66" i="8"/>
  <c r="J66" i="8" s="1"/>
  <c r="I63" i="8"/>
  <c r="J63" i="8" s="1"/>
  <c r="I61" i="8"/>
  <c r="J61" i="8" s="1"/>
  <c r="I60" i="8"/>
  <c r="J60" i="8" s="1"/>
  <c r="I58" i="8"/>
  <c r="I57" i="8"/>
  <c r="J57" i="8" s="1"/>
  <c r="I56" i="8"/>
  <c r="J56" i="8" s="1"/>
  <c r="I54" i="8"/>
  <c r="J54" i="8" s="1"/>
  <c r="I52" i="8"/>
  <c r="J52" i="8" s="1"/>
  <c r="I51" i="8"/>
  <c r="J51" i="8" s="1"/>
  <c r="I50" i="8"/>
  <c r="J50" i="8" s="1"/>
  <c r="I47" i="8"/>
  <c r="J47" i="8" s="1"/>
  <c r="I45" i="8"/>
  <c r="J45" i="8" s="1"/>
  <c r="I44" i="8"/>
  <c r="J44" i="8" s="1"/>
  <c r="I42" i="8"/>
  <c r="J42" i="8" s="1"/>
  <c r="I40" i="8"/>
  <c r="J40" i="8" s="1"/>
  <c r="I39" i="8"/>
  <c r="J39" i="8" s="1"/>
  <c r="I36" i="8"/>
  <c r="J36" i="8" s="1"/>
  <c r="I35" i="8"/>
  <c r="I34" i="8"/>
  <c r="J34" i="8" s="1"/>
  <c r="I33" i="8"/>
  <c r="J33" i="8" s="1"/>
  <c r="I31" i="8"/>
  <c r="I29" i="8"/>
  <c r="J29" i="8" s="1"/>
  <c r="I28" i="8"/>
  <c r="J28" i="8" s="1"/>
  <c r="I25" i="8"/>
  <c r="J25" i="8" s="1"/>
  <c r="I23" i="8"/>
  <c r="J23" i="8" s="1"/>
  <c r="I22" i="8"/>
  <c r="J22" i="8" s="1"/>
  <c r="I20" i="8"/>
  <c r="J20" i="8" s="1"/>
  <c r="I18" i="8"/>
  <c r="J18" i="8" s="1"/>
  <c r="I17" i="8"/>
  <c r="J17" i="8" s="1"/>
  <c r="I16" i="8"/>
  <c r="J16" i="8" s="1"/>
  <c r="I14" i="8"/>
  <c r="J14" i="8" s="1"/>
  <c r="I5" i="8"/>
  <c r="J5" i="8" s="1"/>
  <c r="H9" i="8"/>
  <c r="I8" i="8"/>
  <c r="J8" i="8" s="1"/>
  <c r="I7" i="8"/>
  <c r="J7" i="8" s="1"/>
  <c r="I6" i="8"/>
  <c r="J6" i="8" s="1"/>
  <c r="I4" i="8"/>
  <c r="J4" i="8" s="1"/>
  <c r="F42" i="7"/>
  <c r="H42" i="7" s="1"/>
  <c r="I42" i="7" s="1"/>
  <c r="F43" i="7"/>
  <c r="H43" i="7" s="1"/>
  <c r="I43" i="7" s="1"/>
  <c r="F41" i="7"/>
  <c r="H41" i="7" s="1"/>
  <c r="I41" i="7" s="1"/>
  <c r="F39" i="7"/>
  <c r="H39" i="7" s="1"/>
  <c r="I39" i="7" s="1"/>
  <c r="G43" i="7"/>
  <c r="H40" i="7"/>
  <c r="I40" i="7" s="1"/>
  <c r="F35" i="7"/>
  <c r="G35" i="7"/>
  <c r="H34" i="7"/>
  <c r="I34" i="7" s="1"/>
  <c r="H33" i="7"/>
  <c r="I33" i="7" s="1"/>
  <c r="H32" i="7"/>
  <c r="I32" i="7" s="1"/>
  <c r="H31" i="7"/>
  <c r="I31" i="7" s="1"/>
  <c r="H30" i="7"/>
  <c r="I30" i="7" s="1"/>
  <c r="G20" i="7"/>
  <c r="G25" i="7" s="1"/>
  <c r="F25" i="7"/>
  <c r="H24" i="7"/>
  <c r="I24" i="7" s="1"/>
  <c r="H23" i="7"/>
  <c r="I23" i="7" s="1"/>
  <c r="H22" i="7"/>
  <c r="I22" i="7" s="1"/>
  <c r="H21" i="7"/>
  <c r="I21" i="7" s="1"/>
  <c r="G15" i="7"/>
  <c r="F15" i="7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H5" i="7"/>
  <c r="I5" i="7" s="1"/>
  <c r="I25" i="6"/>
  <c r="I49" i="6"/>
  <c r="I48" i="6"/>
  <c r="J48" i="6" s="1"/>
  <c r="I38" i="6"/>
  <c r="I37" i="6"/>
  <c r="I36" i="6"/>
  <c r="I31" i="6"/>
  <c r="I12" i="6"/>
  <c r="I11" i="6"/>
  <c r="I50" i="6"/>
  <c r="I47" i="6"/>
  <c r="J47" i="6" s="1"/>
  <c r="I46" i="6"/>
  <c r="J46" i="6" s="1"/>
  <c r="I45" i="6"/>
  <c r="J45" i="6" s="1"/>
  <c r="I44" i="6"/>
  <c r="J44" i="6" s="1"/>
  <c r="I43" i="6"/>
  <c r="J43" i="6" s="1"/>
  <c r="I42" i="6"/>
  <c r="J42" i="6" s="1"/>
  <c r="I41" i="6"/>
  <c r="J41" i="6" s="1"/>
  <c r="I40" i="6"/>
  <c r="J40" i="6" s="1"/>
  <c r="I39" i="6"/>
  <c r="J39" i="6" s="1"/>
  <c r="I35" i="6"/>
  <c r="J35" i="6" s="1"/>
  <c r="I34" i="6"/>
  <c r="J34" i="6" s="1"/>
  <c r="I33" i="6"/>
  <c r="J33" i="6" s="1"/>
  <c r="I32" i="6"/>
  <c r="J32" i="6" s="1"/>
  <c r="I30" i="6"/>
  <c r="J30" i="6" s="1"/>
  <c r="I29" i="6"/>
  <c r="J29" i="6" s="1"/>
  <c r="I28" i="6"/>
  <c r="J28" i="6" s="1"/>
  <c r="I27" i="6"/>
  <c r="J27" i="6" s="1"/>
  <c r="I26" i="6"/>
  <c r="J26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0" i="6"/>
  <c r="J10" i="6" s="1"/>
  <c r="I9" i="6"/>
  <c r="J9" i="6" s="1"/>
  <c r="I8" i="6"/>
  <c r="J8" i="6" s="1"/>
  <c r="I7" i="6"/>
  <c r="J7" i="6" s="1"/>
  <c r="I6" i="6"/>
  <c r="J6" i="6" s="1"/>
  <c r="I5" i="6"/>
  <c r="J5" i="6" s="1"/>
  <c r="G51" i="6"/>
  <c r="G54" i="6" s="1"/>
  <c r="H51" i="6"/>
  <c r="F30" i="5"/>
  <c r="H28" i="5"/>
  <c r="H27" i="5"/>
  <c r="H26" i="5"/>
  <c r="H25" i="5"/>
  <c r="H29" i="5"/>
  <c r="I29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G30" i="5"/>
  <c r="H34" i="4"/>
  <c r="I34" i="4" s="1"/>
  <c r="H33" i="4"/>
  <c r="I33" i="4" s="1"/>
  <c r="H32" i="4"/>
  <c r="I32" i="4" s="1"/>
  <c r="H31" i="4"/>
  <c r="I31" i="4" s="1"/>
  <c r="H30" i="4"/>
  <c r="I30" i="4" s="1"/>
  <c r="G35" i="4"/>
  <c r="F35" i="4"/>
  <c r="H35" i="4" s="1"/>
  <c r="I35" i="4" s="1"/>
  <c r="F25" i="4"/>
  <c r="H24" i="4"/>
  <c r="I24" i="4" s="1"/>
  <c r="H23" i="4"/>
  <c r="I23" i="4" s="1"/>
  <c r="H22" i="4"/>
  <c r="I22" i="4" s="1"/>
  <c r="G25" i="4"/>
  <c r="H25" i="4" s="1"/>
  <c r="I25" i="4" s="1"/>
  <c r="I15" i="4"/>
  <c r="H15" i="4"/>
  <c r="H16" i="4"/>
  <c r="I16" i="4" s="1"/>
  <c r="H14" i="4"/>
  <c r="I14" i="4" s="1"/>
  <c r="H8" i="4"/>
  <c r="I8" i="4" s="1"/>
  <c r="H6" i="4"/>
  <c r="I6" i="4" s="1"/>
  <c r="F5" i="4"/>
  <c r="F9" i="4" s="1"/>
  <c r="G9" i="4"/>
  <c r="F28" i="3"/>
  <c r="G25" i="3"/>
  <c r="H25" i="3" s="1"/>
  <c r="G35" i="3"/>
  <c r="E28" i="3"/>
  <c r="E23" i="3"/>
  <c r="G23" i="3" s="1"/>
  <c r="H23" i="3" s="1"/>
  <c r="G27" i="3"/>
  <c r="G26" i="3"/>
  <c r="H26" i="3" s="1"/>
  <c r="G24" i="3"/>
  <c r="H24" i="3" s="1"/>
  <c r="G22" i="3"/>
  <c r="H22" i="3" s="1"/>
  <c r="G21" i="3"/>
  <c r="H21" i="3" s="1"/>
  <c r="F16" i="3"/>
  <c r="H11" i="3"/>
  <c r="H10" i="3"/>
  <c r="G15" i="3"/>
  <c r="G14" i="3"/>
  <c r="G13" i="3"/>
  <c r="G11" i="3"/>
  <c r="G10" i="3"/>
  <c r="G9" i="3"/>
  <c r="H9" i="3" s="1"/>
  <c r="G8" i="3"/>
  <c r="H8" i="3" s="1"/>
  <c r="G7" i="3"/>
  <c r="H7" i="3" s="1"/>
  <c r="G6" i="3"/>
  <c r="H6" i="3" s="1"/>
  <c r="G5" i="3"/>
  <c r="H5" i="3" s="1"/>
  <c r="E12" i="3"/>
  <c r="G12" i="3" s="1"/>
  <c r="H12" i="3" s="1"/>
  <c r="J18" i="2"/>
  <c r="I19" i="2"/>
  <c r="I18" i="2"/>
  <c r="I17" i="2"/>
  <c r="J17" i="2" s="1"/>
  <c r="I16" i="2"/>
  <c r="I10" i="2"/>
  <c r="J10" i="2" s="1"/>
  <c r="I9" i="2"/>
  <c r="J9" i="2" s="1"/>
  <c r="G12" i="2"/>
  <c r="G20" i="2"/>
  <c r="I20" i="2" s="1"/>
  <c r="J20" i="2" s="1"/>
  <c r="G13" i="2"/>
  <c r="I13" i="2" s="1"/>
  <c r="J13" i="2" s="1"/>
  <c r="G11" i="2"/>
  <c r="I11" i="2" s="1"/>
  <c r="J11" i="2" s="1"/>
  <c r="G7" i="2"/>
  <c r="I7" i="2" s="1"/>
  <c r="J7" i="2" s="1"/>
  <c r="G6" i="2"/>
  <c r="G8" i="2" s="1"/>
  <c r="G20" i="1"/>
  <c r="I20" i="1" s="1"/>
  <c r="J20" i="1" s="1"/>
  <c r="G19" i="1"/>
  <c r="I19" i="1" s="1"/>
  <c r="J19" i="1" s="1"/>
  <c r="H21" i="1"/>
  <c r="J8" i="1"/>
  <c r="J5" i="1"/>
  <c r="K7" i="1"/>
  <c r="H15" i="1"/>
  <c r="I9" i="1"/>
  <c r="K9" i="1" s="1"/>
  <c r="I8" i="1"/>
  <c r="K8" i="1" s="1"/>
  <c r="I7" i="1"/>
  <c r="J7" i="1" s="1"/>
  <c r="I6" i="1"/>
  <c r="J6" i="1" s="1"/>
  <c r="I5" i="1"/>
  <c r="K5" i="1" s="1"/>
  <c r="H10" i="1"/>
  <c r="G10" i="1"/>
  <c r="I82" i="8" l="1"/>
  <c r="J82" i="8" s="1"/>
  <c r="G49" i="8"/>
  <c r="I114" i="8" s="1"/>
  <c r="J114" i="8" s="1"/>
  <c r="I48" i="8"/>
  <c r="J48" i="8" s="1"/>
  <c r="I113" i="8"/>
  <c r="J113" i="8" s="1"/>
  <c r="I18" i="10"/>
  <c r="J18" i="10" s="1"/>
  <c r="I27" i="8"/>
  <c r="J27" i="8" s="1"/>
  <c r="I43" i="8"/>
  <c r="J43" i="8" s="1"/>
  <c r="I83" i="8"/>
  <c r="J83" i="8" s="1"/>
  <c r="I8" i="2"/>
  <c r="J8" i="2" s="1"/>
  <c r="H13" i="1"/>
  <c r="K6" i="1"/>
  <c r="J9" i="1"/>
  <c r="G14" i="2"/>
  <c r="I14" i="2" s="1"/>
  <c r="J14" i="2" s="1"/>
  <c r="I12" i="2"/>
  <c r="J12" i="2" s="1"/>
  <c r="I10" i="1"/>
  <c r="I6" i="2"/>
  <c r="J6" i="2" s="1"/>
  <c r="F13" i="14"/>
  <c r="E13" i="14"/>
  <c r="I70" i="8"/>
  <c r="J70" i="8" s="1"/>
  <c r="G76" i="8"/>
  <c r="I103" i="8" s="1"/>
  <c r="J103" i="8" s="1"/>
  <c r="I59" i="8"/>
  <c r="J59" i="8" s="1"/>
  <c r="I55" i="8"/>
  <c r="J55" i="8" s="1"/>
  <c r="G65" i="8"/>
  <c r="G38" i="8"/>
  <c r="I32" i="8"/>
  <c r="J32" i="8" s="1"/>
  <c r="I21" i="8"/>
  <c r="J21" i="8" s="1"/>
  <c r="I26" i="8"/>
  <c r="J26" i="8" s="1"/>
  <c r="I64" i="8"/>
  <c r="J64" i="8" s="1"/>
  <c r="I37" i="8"/>
  <c r="J37" i="8" s="1"/>
  <c r="I75" i="8"/>
  <c r="J75" i="8" s="1"/>
  <c r="G9" i="8"/>
  <c r="H35" i="7"/>
  <c r="I35" i="7" s="1"/>
  <c r="H20" i="7"/>
  <c r="I20" i="7" s="1"/>
  <c r="H25" i="7"/>
  <c r="I25" i="7" s="1"/>
  <c r="H15" i="7"/>
  <c r="I15" i="7" s="1"/>
  <c r="I51" i="6"/>
  <c r="J51" i="6" s="1"/>
  <c r="H30" i="5"/>
  <c r="I30" i="5" s="1"/>
  <c r="H17" i="4"/>
  <c r="I17" i="4" s="1"/>
  <c r="H5" i="4"/>
  <c r="G28" i="3"/>
  <c r="H28" i="3" s="1"/>
  <c r="E16" i="3"/>
  <c r="G16" i="3"/>
  <c r="H16" i="3" s="1"/>
  <c r="G21" i="1"/>
  <c r="I21" i="1" s="1"/>
  <c r="J21" i="1" s="1"/>
  <c r="I9" i="8" l="1"/>
  <c r="J9" i="8" s="1"/>
  <c r="I49" i="8"/>
  <c r="J49" i="8" s="1"/>
  <c r="I102" i="8"/>
  <c r="J102" i="8" s="1"/>
  <c r="G77" i="8"/>
  <c r="G84" i="8"/>
  <c r="K10" i="1"/>
  <c r="J10" i="1"/>
  <c r="G21" i="2"/>
  <c r="I21" i="2" s="1"/>
  <c r="J21" i="2" s="1"/>
  <c r="I65" i="8"/>
  <c r="J65" i="8" s="1"/>
  <c r="I38" i="8"/>
  <c r="J38" i="8" s="1"/>
  <c r="I76" i="8"/>
  <c r="J76" i="8" s="1"/>
  <c r="I5" i="4"/>
  <c r="H9" i="4"/>
  <c r="I9" i="4" s="1"/>
  <c r="I105" i="8" l="1"/>
  <c r="J105" i="8" s="1"/>
  <c r="G107" i="8"/>
  <c r="I84" i="8"/>
  <c r="J84" i="8" s="1"/>
  <c r="I77" i="8"/>
  <c r="J77" i="8" s="1"/>
  <c r="I107" i="8" l="1"/>
  <c r="J107" i="8" s="1"/>
  <c r="I112" i="8"/>
  <c r="J112" i="8" s="1"/>
  <c r="G115" i="8"/>
  <c r="I115" i="8" s="1"/>
  <c r="J115" i="8" s="1"/>
  <c r="G117" i="8" l="1"/>
  <c r="G118" i="8" s="1"/>
</calcChain>
</file>

<file path=xl/sharedStrings.xml><?xml version="1.0" encoding="utf-8"?>
<sst xmlns="http://schemas.openxmlformats.org/spreadsheetml/2006/main" count="1176" uniqueCount="592">
  <si>
    <t>Ricavi per vendite e prestazioni</t>
  </si>
  <si>
    <t>(importi in €)</t>
  </si>
  <si>
    <t>ASS.</t>
  </si>
  <si>
    <t>%</t>
  </si>
  <si>
    <t xml:space="preserve">    Incassi da biglietteria ed abbonamenti</t>
  </si>
  <si>
    <t xml:space="preserve">    Sponsorizzazioni</t>
  </si>
  <si>
    <t xml:space="preserve">    Contributi ed erogazioni liberali</t>
  </si>
  <si>
    <t xml:space="preserve">    Proventi Teatro Petruzzelli</t>
  </si>
  <si>
    <t xml:space="preserve">    Erogazioni liberali</t>
  </si>
  <si>
    <t xml:space="preserve">TOTALE </t>
  </si>
  <si>
    <t>Δ 2019-20</t>
  </si>
  <si>
    <t>Biglietti</t>
  </si>
  <si>
    <t>Abbonamenti</t>
  </si>
  <si>
    <t>RICAVI BIGLIETTERIA</t>
  </si>
  <si>
    <t>OPERA (BIGLIETTI)</t>
  </si>
  <si>
    <t>OPERA (ABBONAMENTI)</t>
  </si>
  <si>
    <t>TOTALE</t>
  </si>
  <si>
    <t>BALLETTO (BIGLIETTI)</t>
  </si>
  <si>
    <t>BALLETTO (ABBONAMENTI)</t>
  </si>
  <si>
    <t>SINFONICO (BIGLIETTI)</t>
  </si>
  <si>
    <t>SINFONICO (ABBONAMENTI)</t>
  </si>
  <si>
    <t xml:space="preserve">ALTRI EVENTI </t>
  </si>
  <si>
    <t>PETRUZ.PER LE SCUOLE (BIGLIETTI)</t>
  </si>
  <si>
    <t>FAMILY CONCERT (BIGLIETTI)</t>
  </si>
  <si>
    <t>LEZIONI DI STORIA (BIGLIETTI)</t>
  </si>
  <si>
    <t>LEZIONI STORIA (ABBONAMENTI)</t>
  </si>
  <si>
    <t>RICAVI TEATRO PETRUZZELLI</t>
  </si>
  <si>
    <t>RICAVI PROGRAMMI DI SALA</t>
  </si>
  <si>
    <t>CANONE DI CONCESSIONE</t>
  </si>
  <si>
    <t>ONERI ACCESSORI</t>
  </si>
  <si>
    <t>RICAVI SERVIZI BOTTEGHINO</t>
  </si>
  <si>
    <t>RICAVI DA VISITE GUIDATE</t>
  </si>
  <si>
    <t>PRESTAZIONI ORCHESTRA E CORO</t>
  </si>
  <si>
    <t>RICAVI DA COPRODUZIONE</t>
  </si>
  <si>
    <t>RIMB. PROGETTO FORM. FONDIMPRESA</t>
  </si>
  <si>
    <t>RISARCIMENTI DA ASSICURAZ. E ALTRI</t>
  </si>
  <si>
    <t>RIMB. PROGETTO NETT</t>
  </si>
  <si>
    <t>ALTRI RICAVI (VENDITA ROTTAMI FERROSI)</t>
  </si>
  <si>
    <t>Note credito da fornitori/accordi transattivi</t>
  </si>
  <si>
    <t>Rettifica premio INAIL/INPS</t>
  </si>
  <si>
    <t>Ricavi di esercizi precedenti</t>
  </si>
  <si>
    <t>5X1000 anno 2014 (nel 2016) e 2015 (nel 2017)</t>
  </si>
  <si>
    <t>41.541 </t>
  </si>
  <si>
    <t>Abbuoni e arrotondamenti attivi</t>
  </si>
  <si>
    <t>Rettifica debiti tributari</t>
  </si>
  <si>
    <t>Totale</t>
  </si>
  <si>
    <t>Vigili del Fuoco rimb.anno 2018 (nel 2019) e 2019 (nel 2020)</t>
  </si>
  <si>
    <t>Contributi in conto esercizio</t>
  </si>
  <si>
    <t>STATO</t>
  </si>
  <si>
    <t>REGIONE PUGLIA</t>
  </si>
  <si>
    <t>CITTA' METROPOLITANA DI BARI</t>
  </si>
  <si>
    <t>COMUNE DI BARI</t>
  </si>
  <si>
    <t>TOTALE CONTRIBUTI PUBBLICI</t>
  </si>
  <si>
    <t>Contributi dello Stato</t>
  </si>
  <si>
    <t>FUS</t>
  </si>
  <si>
    <t>Contributo dello Stato  L. n. 388</t>
  </si>
  <si>
    <t>Contributo Decreto salvadebiti</t>
  </si>
  <si>
    <t>TOTALE CONTRIBUTI DELLO STATO</t>
  </si>
  <si>
    <t>Acquisti di materie prime, sussidiarie, ecc.</t>
  </si>
  <si>
    <t>- Acquisti legati alla produzione artistica</t>
  </si>
  <si>
    <t>- Materiale di consumo per il teatro</t>
  </si>
  <si>
    <t>- Cancelleria e varie</t>
  </si>
  <si>
    <t>TOTALE COSTI PER ACQUISTI</t>
  </si>
  <si>
    <t>COSTI PER SERVIZI</t>
  </si>
  <si>
    <t>- costi di servizi legati alla produzione artistica</t>
  </si>
  <si>
    <t>- costi di servizi inerenti il Teatro e Palazzo San Michele</t>
  </si>
  <si>
    <t>- consulenze di produzione artistica</t>
  </si>
  <si>
    <t>- consulenze</t>
  </si>
  <si>
    <t>- Sovrintendente e revisori (inclusi contributi e rimborsi)</t>
  </si>
  <si>
    <t>COSTI PER SERVIZI LEGATI ALLA PRODUZIONE ARTISTICA</t>
  </si>
  <si>
    <t>COSTO OPERA (COMPAGNIA)/COPRODUZIONE</t>
  </si>
  <si>
    <t>COSTO ORCHESTRA ESTERA</t>
  </si>
  <si>
    <t>COSTO BALLETTO</t>
  </si>
  <si>
    <t>DIRITTI D'AUTORE</t>
  </si>
  <si>
    <t>COPRODUZIONE LEZIONE DI STORIA</t>
  </si>
  <si>
    <t>ARTISTI AUTONOMI</t>
  </si>
  <si>
    <t>CONTRIBUTI INPS AUTONOMI</t>
  </si>
  <si>
    <t>ARTISTI ESTERI</t>
  </si>
  <si>
    <t>CONTRIBUTI INPS ARTISTI ESTERI</t>
  </si>
  <si>
    <t>COMPENSI LAV.OCCAS.ATTIN.ATTIV.</t>
  </si>
  <si>
    <t>CONTRIBUTI INPS OCCASIONALI</t>
  </si>
  <si>
    <t>ASSISTENZA AL MONTAGGIO SCENE</t>
  </si>
  <si>
    <t>SERVIZI DI RIPRESE AUDIO E VIDEO</t>
  </si>
  <si>
    <t>REALIZZ. SCENOG. DIGIT. IN VIDEO</t>
  </si>
  <si>
    <t>SERVIZI DI LAVANDERIA</t>
  </si>
  <si>
    <t>SERVIZIO DI REALIZZAZIONE SOPRATITOLI</t>
  </si>
  <si>
    <t>VIGILI DEL FUOCO</t>
  </si>
  <si>
    <t>TIPOGRAFICHE</t>
  </si>
  <si>
    <t>SERVIZI FOTOGRAFICI</t>
  </si>
  <si>
    <t>CONFERENZIERI-LIBRETTISTI</t>
  </si>
  <si>
    <t>SPESE TOURNEE GIAPPONE</t>
  </si>
  <si>
    <t>DIRITTI DI REGISTRAZIONE</t>
  </si>
  <si>
    <t>SERVIZI DI SOGGIORNO</t>
  </si>
  <si>
    <t>SERVIZI DI TRUCCO E PARRUCCO</t>
  </si>
  <si>
    <t>SERVIZI DI SARTORIA</t>
  </si>
  <si>
    <t>COSTI PER SERVIZI TEATRO PETRUZZELLI E PALAZZO SAN MICHELE</t>
  </si>
  <si>
    <t>ENERGIA ELETTRICA</t>
  </si>
  <si>
    <t>GAS RISCALDAMENTO</t>
  </si>
  <si>
    <t>ACQUA</t>
  </si>
  <si>
    <t>ASSICURAZ. NON OBBLIGATORIE</t>
  </si>
  <si>
    <t>VIGILANZA</t>
  </si>
  <si>
    <t>SERVIZI DI PULIZIA</t>
  </si>
  <si>
    <t>PUBBLICITA'</t>
  </si>
  <si>
    <t>SPESE LEGALI</t>
  </si>
  <si>
    <t>SPESE TELEFONICHE</t>
  </si>
  <si>
    <t>SPESE CELLULARI</t>
  </si>
  <si>
    <t>SPESE POSTALI E DI AFFRANCATURA</t>
  </si>
  <si>
    <t>SPESE DI RAPPRESENTANZA DEDUCIB.</t>
  </si>
  <si>
    <t>RICERCA, ADDESTRAM.E FORMAZIONE</t>
  </si>
  <si>
    <t>SERVIZIO SMALTIMENTO RIFIUTI</t>
  </si>
  <si>
    <t>ONERI BANCARI</t>
  </si>
  <si>
    <t>ALTRI COSTI PER SERVIZI</t>
  </si>
  <si>
    <t>QUOTE ASSOCIATIVE</t>
  </si>
  <si>
    <t>DOMINIO INTERNET</t>
  </si>
  <si>
    <t>MANUT.E ASSIS.INFRAS.INFORMATICA</t>
  </si>
  <si>
    <t>SERVIZI DI ASSIS. ED ACCOGLIENZA</t>
  </si>
  <si>
    <t>MANUTENZIONI E RIPARAZIONI</t>
  </si>
  <si>
    <t>MANUTENZ. STRAORDINARIA TEATRO</t>
  </si>
  <si>
    <t>ASSICURAZIONI R.C.T.</t>
  </si>
  <si>
    <t>RIMBORSI VISITE MEDICHE</t>
  </si>
  <si>
    <t>RASSEGNA STAMPA E TELEASS. SOFTW</t>
  </si>
  <si>
    <t>LICENZA D'USO SOFTWARE</t>
  </si>
  <si>
    <t>SERVIZIO BIGLIETTERIA</t>
  </si>
  <si>
    <t>RIMBORSI SPESE VARIE</t>
  </si>
  <si>
    <t>SERVIZI DI TRASPORTO E FACCHIN.</t>
  </si>
  <si>
    <t>COMPENSO COMMISSARIO AUDIZIONI</t>
  </si>
  <si>
    <t>PUBBLICITA' SU QUOTIDIANI</t>
  </si>
  <si>
    <t>COSTI AGENZIA INTERINALE</t>
  </si>
  <si>
    <t>MANUTENZIONE SITO WEB</t>
  </si>
  <si>
    <t>SERVIZI DI SANIFICAZIONE</t>
  </si>
  <si>
    <t>SPESE PER ANALISI, PROVE E LABORATORIO</t>
  </si>
  <si>
    <t>SERVIZI COMMERCIALI</t>
  </si>
  <si>
    <t>COPRODUZIONE LEZIONI DI STORIA</t>
  </si>
  <si>
    <t>ICT PLATFORM XDIGITAL INTEG.NETT</t>
  </si>
  <si>
    <t>AUDIT CERTIFICATES NETT</t>
  </si>
  <si>
    <t>SPESE DI VIAGGIO PERSONALE FONDAZIONE</t>
  </si>
  <si>
    <t>ENERGIA ELETTRICA DEPOSITO/LABORATORIO</t>
  </si>
  <si>
    <t>RIMBORSI SPESE VIAGGIO PERSONALE FONDAZIONE</t>
  </si>
  <si>
    <t>APPLICATIONAL PROPOSAL NETT</t>
  </si>
  <si>
    <t>SPESE DI RAPPRESENTANZA INTERREG.</t>
  </si>
  <si>
    <t>SPESE VARIE</t>
  </si>
  <si>
    <t>CONSULENZE DI PRODUZIONE ARTISTICA</t>
  </si>
  <si>
    <t>COMPENSO DIRETTORE TECNICO E DEGLI ALLESTIMENTI</t>
  </si>
  <si>
    <t>CONTRIBUTI DIRETTORE TECNICO E DEGLI ALLESTIMENTI</t>
  </si>
  <si>
    <t>RIMBORSI SPESE DIRETTORE TECNICO E DEGLI ALLESTIMENTI</t>
  </si>
  <si>
    <t>COMPENSO MAESTRO DEL CORO</t>
  </si>
  <si>
    <t>CONTRIBUTI MAESTRO DEL CORO</t>
  </si>
  <si>
    <t>RIMBORSI SPESE MAESTRO DEL CORO</t>
  </si>
  <si>
    <t>CONSULENZA CASTING MANAGER</t>
  </si>
  <si>
    <t>CONTRIBUTI CASTING MANAGER</t>
  </si>
  <si>
    <t>COMPENSO DIRETTORE MUSICALE PALCOSCENICO</t>
  </si>
  <si>
    <t>CONTRIBUTI DIRETTORE MUSICALE PALCOSCENICO</t>
  </si>
  <si>
    <t xml:space="preserve">CONSULENZE </t>
  </si>
  <si>
    <t>CONSULENZE PROFESSIONALI</t>
  </si>
  <si>
    <t>CONSULENZE LEGALI</t>
  </si>
  <si>
    <t>COMPENSI PER TENUTA CONTABILITA'</t>
  </si>
  <si>
    <t>COMPENSI PER TENUTA PAGHE</t>
  </si>
  <si>
    <t>COMPENSI PROFESSIONALI VARI</t>
  </si>
  <si>
    <t>SOVRINTENDENTE E REVISORI</t>
  </si>
  <si>
    <t>COMPENSO COLLEGIO DEI REVISORI</t>
  </si>
  <si>
    <t>RIMBORSI SPESE COLLEGIO DEI REVISORI</t>
  </si>
  <si>
    <t>COMPENSO SOVRINTENDENTE</t>
  </si>
  <si>
    <t>CONTRIBUTI SOVRINTENDENTE</t>
  </si>
  <si>
    <t>RIMBORSI SPESE SOVRINTENDENTE</t>
  </si>
  <si>
    <t>SPESE PER IL GODIMENTO DI BENI TERZI</t>
  </si>
  <si>
    <t>fitto deposito/laboratori e container</t>
  </si>
  <si>
    <t>noleggi legati alla produzione artistica</t>
  </si>
  <si>
    <t>fitto sala prove orchestra e coro</t>
  </si>
  <si>
    <t xml:space="preserve">noleggio fotocopiatori/varie </t>
  </si>
  <si>
    <t>COSTO DEL PERSONALE</t>
  </si>
  <si>
    <t>SALARI E STIPENDI</t>
  </si>
  <si>
    <t>ONERI SOCIALI</t>
  </si>
  <si>
    <t>ONERI ASSICURATIVI</t>
  </si>
  <si>
    <t>TRATTAMENTO FINE RAPPORTO</t>
  </si>
  <si>
    <t>SOMMINISTRAZIONE LAVORO</t>
  </si>
  <si>
    <t>ONERI SOCIALI INAIL</t>
  </si>
  <si>
    <t>CORO SALARI E STIPENDI AGGIUNTI</t>
  </si>
  <si>
    <t>CORO ONERI SOCIALI INPS AGGIUNTI</t>
  </si>
  <si>
    <t>TFR AGGIUNTI</t>
  </si>
  <si>
    <t>CORO SALARI E STIPENDI INDET.</t>
  </si>
  <si>
    <t>CORO ONERI SOCIALI INPS INDET.</t>
  </si>
  <si>
    <t>CORO IND. TFR</t>
  </si>
  <si>
    <t>ARTISTI DEL CORO</t>
  </si>
  <si>
    <t>PRO.ORC. SALARI E STIPENDI AGGI.</t>
  </si>
  <si>
    <t>PRO.ORC. ONERI SOCIALI INPS AGG.</t>
  </si>
  <si>
    <t>PRO.ORC. SALARI E STIPENDI INDE.</t>
  </si>
  <si>
    <t>PRO.ORC. ONERI SOCIALI INPS IND.</t>
  </si>
  <si>
    <t>PRO.ORC. TRASFERTE INDETERMIN.</t>
  </si>
  <si>
    <t>PROF.ORC. TFR INDETERMINATI</t>
  </si>
  <si>
    <t>PROFESSORI D'ORCHESTRA</t>
  </si>
  <si>
    <t>M.C. SALARI E STIPENDI AGG.</t>
  </si>
  <si>
    <t>M.C. ONERI SOCIALI INPS AGG.</t>
  </si>
  <si>
    <t>M.C. SALARI E STIPENDI INDET.</t>
  </si>
  <si>
    <t>M.C. ONERI SOCIALI INDETER.</t>
  </si>
  <si>
    <t>MAES.COLL.IND. TFR</t>
  </si>
  <si>
    <t>MAESTRI COLLABORATORI</t>
  </si>
  <si>
    <t>AMM. SALARI E STIPENDI INDET.</t>
  </si>
  <si>
    <t>AMM. ONERI SOCIALI INPS INDET.</t>
  </si>
  <si>
    <t>AMM. ONERI SOCIALI INPGI</t>
  </si>
  <si>
    <t>TFR INDETERMINATI</t>
  </si>
  <si>
    <t>AMM. SALARI E STIPENDI AGG.</t>
  </si>
  <si>
    <t>AMM. ONERI SOCIALI INPS AGG.</t>
  </si>
  <si>
    <t>COMPENSO DIRIGENTI</t>
  </si>
  <si>
    <t>ONERI SOCIALI DIRIGENTI</t>
  </si>
  <si>
    <t>DIRIGENTI TFR</t>
  </si>
  <si>
    <t>AMMINISTRATIVI</t>
  </si>
  <si>
    <t>TEC. SALARI E STIPENDI INDET.</t>
  </si>
  <si>
    <t>TEC. ONERI SOCIALI INPS INDET.</t>
  </si>
  <si>
    <t>TEC. SALARI E STIPENDI AGGIUNTI</t>
  </si>
  <si>
    <t>TEC. ONERI SOCIALI INPS AGGIUNTI</t>
  </si>
  <si>
    <t>TECNICI</t>
  </si>
  <si>
    <t>COSTI PER IL PERSONALE</t>
  </si>
  <si>
    <t>Personale a tempo indeterminato</t>
  </si>
  <si>
    <t>Personale a tempo determinato</t>
  </si>
  <si>
    <t>AMMORTAMENTI IMMATERIALI</t>
  </si>
  <si>
    <t>TOTALE AMMORTAMENTI IMMATERIALI</t>
  </si>
  <si>
    <t>AMM.TO ORD. Op. ingegno,brevetti e know how</t>
  </si>
  <si>
    <t>ONERI DIVERSI DI GESTIONE</t>
  </si>
  <si>
    <t>SOPRAVVENIENZ. PASSIVE INDEDUCIBILI</t>
  </si>
  <si>
    <t>DIRITTI SIAE</t>
  </si>
  <si>
    <t>SANZIONI AMMINISTRATIVE</t>
  </si>
  <si>
    <t>TASSA SUI RIFIUTI</t>
  </si>
  <si>
    <t>IMPOSTA COM.IMMOB.ICI-IMU</t>
  </si>
  <si>
    <t>IVA.IND. BIGLIETTI OMAGGIO</t>
  </si>
  <si>
    <t>IMPOSTA DI BOLLO</t>
  </si>
  <si>
    <t>IMPOSTE E TASSE INDEDUCIBILI</t>
  </si>
  <si>
    <t>IMPOSTA DI REGISTRO</t>
  </si>
  <si>
    <t>ABBUONI/ARROTONDAMENTI PASSIVI</t>
  </si>
  <si>
    <t>DIRITTI CAMERALI</t>
  </si>
  <si>
    <t xml:space="preserve">ALTRO </t>
  </si>
  <si>
    <t>ONERI DA RAVVEDIMENTO</t>
  </si>
  <si>
    <t>consiglio di indirizzo</t>
  </si>
  <si>
    <t>Presidente</t>
  </si>
  <si>
    <t>Antonio Decaro</t>
  </si>
  <si>
    <t>Vicepresidente</t>
  </si>
  <si>
    <t>Corrado Petrocelli</t>
  </si>
  <si>
    <t>Consiglieri</t>
  </si>
  <si>
    <t>Sara Allegretta</t>
  </si>
  <si>
    <t>Michele Bollettieri</t>
  </si>
  <si>
    <t>Matteo Pertosa</t>
  </si>
  <si>
    <t>Vito Mormando</t>
  </si>
  <si>
    <t>fondatori</t>
  </si>
  <si>
    <t>Ministero per i beni e le attività culturali e per il turismo</t>
  </si>
  <si>
    <t>Regione Puglia</t>
  </si>
  <si>
    <t>Città Metropolitana di Bari</t>
  </si>
  <si>
    <t>Comune di Bari</t>
  </si>
  <si>
    <t>Sovrintendente - Direttore artistico</t>
  </si>
  <si>
    <t>Massimo Biscardi</t>
  </si>
  <si>
    <t>collegio revisori dei conti</t>
  </si>
  <si>
    <t>Anna Luisa Carra</t>
  </si>
  <si>
    <t xml:space="preserve">Membri effettivi </t>
  </si>
  <si>
    <t xml:space="preserve">Sergio Lafortezza </t>
  </si>
  <si>
    <t>Rosa Valicenti</t>
  </si>
  <si>
    <t>DESCRIZIONE</t>
  </si>
  <si>
    <t>Compenso Sovrintendente</t>
  </si>
  <si>
    <t>Contributi INPS Sovrintendente</t>
  </si>
  <si>
    <t>Rimborsi spese Sovrintendente</t>
  </si>
  <si>
    <t>Compenso Sindaci</t>
  </si>
  <si>
    <t>Rimborso spese Sindaci</t>
  </si>
  <si>
    <t xml:space="preserve">Consulenza Fiscale </t>
  </si>
  <si>
    <t>Consulenza del lavoro</t>
  </si>
  <si>
    <t>Certificazione e revisione bilancio</t>
  </si>
  <si>
    <t>DENOMINAZIONE</t>
  </si>
  <si>
    <t>IMPORTO</t>
  </si>
  <si>
    <t>DATA INCASSO</t>
  </si>
  <si>
    <t>MIBACT</t>
  </si>
  <si>
    <t>I° ACCONTO FUS ANNO 2020</t>
  </si>
  <si>
    <t>II° ACCONTO FUS ANNO 2020</t>
  </si>
  <si>
    <t>SALDO FUS ANNO 2020</t>
  </si>
  <si>
    <t>ACCONTO CONTRIBUTO ORDINARIO ANNO 2020</t>
  </si>
  <si>
    <t>CITTA’ METROPOLITANA DI BARI</t>
  </si>
  <si>
    <t>CONTRIBUTO ORDINARIO ANNO 2020</t>
  </si>
  <si>
    <t>RISORSE DI CUI ALL’ART.1, C. 583 DELLA L. N. 232/2016</t>
  </si>
  <si>
    <t xml:space="preserve">CONTRIBUTI INCASSATI NEL 2020 DALLO STATO E DAGLI ENTI LOCALI </t>
  </si>
  <si>
    <t>III° ACCONTO FUS ANNO 2020</t>
  </si>
  <si>
    <t>CONTRIBUTO L.388/2000</t>
  </si>
  <si>
    <t>ANNO</t>
  </si>
  <si>
    <t>COSTO STORICO</t>
  </si>
  <si>
    <t>VALORE RESIDUO</t>
  </si>
  <si>
    <t>Costruzioni leggere</t>
  </si>
  <si>
    <t>QUOTA DI AMM.TO</t>
  </si>
  <si>
    <t>FONDO DI AMM.TO</t>
  </si>
  <si>
    <t>Impianti specifici</t>
  </si>
  <si>
    <t>Macchine d’ufficio elettromeccaniche ed elettroniche</t>
  </si>
  <si>
    <t>Investimenti in beni materiali effettuati nel 2021</t>
  </si>
  <si>
    <t>Attrezzature varie e minute &lt;516,46 euro</t>
  </si>
  <si>
    <t>Attrezzatura varia 2009</t>
  </si>
  <si>
    <t>Elementi scenici 2010</t>
  </si>
  <si>
    <t>Elementi scenici 2011</t>
  </si>
  <si>
    <t>Strumenti musicali 2011</t>
  </si>
  <si>
    <t>Attrezzatura varia 2012</t>
  </si>
  <si>
    <t>Attrezzatura varia 2013</t>
  </si>
  <si>
    <t>Attrezzatura varia 2014</t>
  </si>
  <si>
    <t>Pianoforte verticale</t>
  </si>
  <si>
    <t>Pianoforte Yamaha B3</t>
  </si>
  <si>
    <t>Pianoforte Yamaha U3</t>
  </si>
  <si>
    <t>Piano Roland 2000</t>
  </si>
  <si>
    <t>ARPA Camac elisee</t>
  </si>
  <si>
    <t>Piatti Zildjian</t>
  </si>
  <si>
    <t>Attrezzatura varia 2018</t>
  </si>
  <si>
    <t>Attrezzatura varia 2019</t>
  </si>
  <si>
    <t>Attrezzatura varia 2020</t>
  </si>
  <si>
    <t>Attrezzatura varia 2021</t>
  </si>
  <si>
    <t>Monitor 23</t>
  </si>
  <si>
    <t>160 sedie allday 62/3</t>
  </si>
  <si>
    <t>Beni vari</t>
  </si>
  <si>
    <t>Mobili ed arredi anno 2008</t>
  </si>
  <si>
    <t>Mobili ed arredi anno 2009</t>
  </si>
  <si>
    <t>Mobili ed arredi anno 2010</t>
  </si>
  <si>
    <t>Mobili ed arredi anno 2011</t>
  </si>
  <si>
    <t>Mobili ed arredi anno 2013</t>
  </si>
  <si>
    <t>Mobili ed arredi anno 2018</t>
  </si>
  <si>
    <t>Mobili ed arredi anno 2019</t>
  </si>
  <si>
    <t>Mobili ed arredi anno 2020</t>
  </si>
  <si>
    <t>Mobili ed arredi anno 2021</t>
  </si>
  <si>
    <t>MACCHINE D’UFFICIO ELETTROMECCANICHE ED ELETTRONICHE </t>
  </si>
  <si>
    <t>Macchine d’ufficio</t>
  </si>
  <si>
    <t>Telefoni mobili 2011</t>
  </si>
  <si>
    <t>Macchine d'ufficio 2012</t>
  </si>
  <si>
    <t>Macchine d'ufficio 2013</t>
  </si>
  <si>
    <t>Telefoni mobili 2013</t>
  </si>
  <si>
    <t>Macchine d'ufficio 2014</t>
  </si>
  <si>
    <t>Macchine d'ufficio 2016</t>
  </si>
  <si>
    <t>Macchine d'ufficio 2017</t>
  </si>
  <si>
    <t>Macchine d'ufficio 2018</t>
  </si>
  <si>
    <t>Macchine d'ufficio 2019</t>
  </si>
  <si>
    <t>Macchine d'ufficio 2020</t>
  </si>
  <si>
    <t>Macchine d'ufficio 2021</t>
  </si>
  <si>
    <t>TFR AGGIUNTI CORO</t>
  </si>
  <si>
    <t>PRO.ORC. TRASFERTE INDET.</t>
  </si>
  <si>
    <t>POR.ORC. TRASFERTE AGGIUNTI</t>
  </si>
  <si>
    <t>TFR AGGIUNTI MAESTRI COLLAB.</t>
  </si>
  <si>
    <t>BUONI PASTO</t>
  </si>
  <si>
    <t>TFR INDETERMINATI AMMINISTRATIVI</t>
  </si>
  <si>
    <t>AMM. TRASFERTE AMM.INDET.</t>
  </si>
  <si>
    <t>TFR INDETERMINATI TECNICI</t>
  </si>
  <si>
    <t>TFR AGGIUNTI TECNICI</t>
  </si>
  <si>
    <t>TECNICI TRASFERTE AGGIUNTI</t>
  </si>
  <si>
    <t>ONERI SOCIALI ED ASSICURATIVI</t>
  </si>
  <si>
    <t>TFR</t>
  </si>
  <si>
    <t>ALTRI COSTI DEL PERSONALE</t>
  </si>
  <si>
    <t>RIEPILOGO CREDITI</t>
  </si>
  <si>
    <t>Crediti verso clienti</t>
  </si>
  <si>
    <t>Fatture da emettere</t>
  </si>
  <si>
    <t>Crediti tributari</t>
  </si>
  <si>
    <t>Crediti verso altri</t>
  </si>
  <si>
    <t>Totale crediti</t>
  </si>
  <si>
    <t>CLIENTI</t>
  </si>
  <si>
    <t>CREDITI COMMERCIALI VERSO CLIENTI</t>
  </si>
  <si>
    <t>FATTURE DA EMETTERE</t>
  </si>
  <si>
    <t>Saldo al 31/12/21</t>
  </si>
  <si>
    <t>SALDO AL 31-12-21</t>
  </si>
  <si>
    <t>INCASSATI AL 31/03/22</t>
  </si>
  <si>
    <t>CLIENTE 1</t>
  </si>
  <si>
    <t>CLIENTE 2</t>
  </si>
  <si>
    <t>CLIENTE 3</t>
  </si>
  <si>
    <t>CLIENTE 4</t>
  </si>
  <si>
    <t>CLIENTE 5</t>
  </si>
  <si>
    <t>CLIENTE 6</t>
  </si>
  <si>
    <t>CLIENTE 7</t>
  </si>
  <si>
    <t>CLIENTE 8</t>
  </si>
  <si>
    <t>CLIENTE 9</t>
  </si>
  <si>
    <t>CLIENTE 10</t>
  </si>
  <si>
    <t>CLIENTE 11</t>
  </si>
  <si>
    <t>CLIENTE 12</t>
  </si>
  <si>
    <t>CLIENTE 13</t>
  </si>
  <si>
    <t>CLIENTE 14</t>
  </si>
  <si>
    <t>CLIENTE 15</t>
  </si>
  <si>
    <t>CLIENTE 16</t>
  </si>
  <si>
    <t>CLIENTE 17</t>
  </si>
  <si>
    <t>CLIENTE 18</t>
  </si>
  <si>
    <t>CLIENTE 19</t>
  </si>
  <si>
    <t>CLIENTE 20</t>
  </si>
  <si>
    <t>Crediti Tributari</t>
  </si>
  <si>
    <t>Importo</t>
  </si>
  <si>
    <t>ERARIO C/RITENUTE SUBITE</t>
  </si>
  <si>
    <t>CREDITI D.L. 66/2014</t>
  </si>
  <si>
    <t>CREDITO IVA DA COMPENSARE</t>
  </si>
  <si>
    <t>ERARIO C/RITENUTE DA SCOMPUTARE</t>
  </si>
  <si>
    <t>CREDITI IRPEF</t>
  </si>
  <si>
    <t>ALTRI CREDITI</t>
  </si>
  <si>
    <t>IMPORTI</t>
  </si>
  <si>
    <t>CREDITI VERSO SOCI FONDATORI</t>
  </si>
  <si>
    <t>CREDITI V/FONDAZIONE PUGLIA</t>
  </si>
  <si>
    <t>CREDITI VS. U.E. (PROGETTI EUROPEI)</t>
  </si>
  <si>
    <t>CREDITI VS. ISTITUTI PREVIDENZIALI (INAIL)</t>
  </si>
  <si>
    <t>ACCONTI A FORNITORI</t>
  </si>
  <si>
    <t>CREDITI V/VIVATICKET/CARTA DEL DOCENTE/ALTRI</t>
  </si>
  <si>
    <t>Crediti verso soci Fondatori</t>
  </si>
  <si>
    <t>Importi</t>
  </si>
  <si>
    <t>Descrizione</t>
  </si>
  <si>
    <t>contributo ordinario anno 2021</t>
  </si>
  <si>
    <t>DGR n. 1973 del 07/12/2020 “Istituzioni e Organismi di interesse regionale di cui all’art. 11 della L.R. n. 6/2004 - ulteriore sostegno edizioni straordinarie degli eventi artistico-culturali per l’anno 2020”. Progetto: “I concerti e le opere del Teatro Petruzzelli”. Impegno di spesa. CIG 8569670B64</t>
  </si>
  <si>
    <t>N.</t>
  </si>
  <si>
    <t>FORNITORI</t>
  </si>
  <si>
    <t xml:space="preserve">FORNITORI CHE VANTANO UN CREDITO COMPRESO TRA € 20.000 ED € 30.000 </t>
  </si>
  <si>
    <t>FORNITORI CHE VANTANO UN CREDITO COMPRESO TRA € 10.000 ED € 20.000 </t>
  </si>
  <si>
    <t>FORNITORI CHE VANTANO UN CREDITO COMPRESO TRA € 1.000 ED € 5.000 </t>
  </si>
  <si>
    <t>FORNITORI CHE VANTANO UN CREDITO COMPRESO TRA € 50 ED € 1.000 </t>
  </si>
  <si>
    <t>FATTURE DA RICEVERE</t>
  </si>
  <si>
    <t>FORNITORI CHE VANTANO UN CREDITO COMPRESO TRA € 5.000 ED € 10.000 </t>
  </si>
  <si>
    <t>DEBITI TRIBUTARI</t>
  </si>
  <si>
    <t>ERARIO C/RIT. LAVORO ESTERO</t>
  </si>
  <si>
    <t>ERARIO C/RIT. LAVORO AUTONOMO</t>
  </si>
  <si>
    <t>ERARIO C/RIT. LAVORO DIPENDENTE</t>
  </si>
  <si>
    <t>REGIONI C/RIT. ADDIZ. IRPEF</t>
  </si>
  <si>
    <t>COMUNI C/RIT. ADDIZ. IRPEF</t>
  </si>
  <si>
    <t>ERARIO C/ACC.TI RITENUTE COLLABORATORI</t>
  </si>
  <si>
    <t>ERARIO C/IVA</t>
  </si>
  <si>
    <t>ERARIO C/RITENUTE SU EMOLUMENTI ARRETRATI</t>
  </si>
  <si>
    <t>PATRIMONIO NETTO DISPONIBILE</t>
  </si>
  <si>
    <t xml:space="preserve">   Fondo di dotazione iniziale Enti locali</t>
  </si>
  <si>
    <t xml:space="preserve">   Contributo 2010 Comune di Bari in conto patrimonio</t>
  </si>
  <si>
    <t xml:space="preserve">  Contributo straordinario  Regione Puglia</t>
  </si>
  <si>
    <t xml:space="preserve">  Contributo straordinario  Regione Puglia 2016</t>
  </si>
  <si>
    <t xml:space="preserve">  Contributo straordinario Provincia di Bari</t>
  </si>
  <si>
    <t xml:space="preserve">   Avanzi esercizi precedenti</t>
  </si>
  <si>
    <t xml:space="preserve">   Disavanzo esercizi 2011-2013</t>
  </si>
  <si>
    <t xml:space="preserve">   Riserva straordinaria</t>
  </si>
  <si>
    <t xml:space="preserve">   Avanzo dell’esercizio 2021</t>
  </si>
  <si>
    <t xml:space="preserve">   Fondo di dotazione iniziale COBAR SPA</t>
  </si>
  <si>
    <t>Contributo straordinario  COMUNE DI BARI 2015</t>
  </si>
  <si>
    <t>Contributo straordinario  CITTA’ METROPOLITANA 2015</t>
  </si>
  <si>
    <t>Contributo straordinario  REGIONE PUGLIA 2015</t>
  </si>
  <si>
    <t>F.do di Rivalutaz. Conferimento 2010 Comune di Bari</t>
  </si>
  <si>
    <t>D.M. 1 MARZO 19 LEGGE 145</t>
  </si>
  <si>
    <t>Bilancio 2020</t>
  </si>
  <si>
    <t>Valori del Fondo T.F.R.</t>
  </si>
  <si>
    <t>decrementi 2021</t>
  </si>
  <si>
    <t>incrementi 2021</t>
  </si>
  <si>
    <t>Bilancio 2021</t>
  </si>
  <si>
    <t>DEBITI PREVIDENZIALI</t>
  </si>
  <si>
    <t>DEBITI VERSO INPS</t>
  </si>
  <si>
    <t>DEBITI VERSO INAIL</t>
  </si>
  <si>
    <t>DEBITI VERSO INPGI</t>
  </si>
  <si>
    <t>ALTRI DEBITI</t>
  </si>
  <si>
    <t>DEBITI PER RETRIBUZIONI DIPENDENTI</t>
  </si>
  <si>
    <t>DEBITI VERSO ARTISTI</t>
  </si>
  <si>
    <t>DEBITI PER 14° MENSILITA</t>
  </si>
  <si>
    <t>DEBITI VERSO SINDACATI (RITENUTE DIPENDENTI)</t>
  </si>
  <si>
    <t>DEBITI VERSO ISTITUTI DI CREDITO PER CESSIONE DEL QUINTO</t>
  </si>
  <si>
    <t>DEBITI PER FERIE RESIDUE E BANCA ORE</t>
  </si>
  <si>
    <t>DEBITI VERSO MEF (COMPENSO COLLEGIO DEI REVISORI)</t>
  </si>
  <si>
    <t>DEBITI VERSO VIGILI DEL FUOCO</t>
  </si>
  <si>
    <t>DEBITI VERSO ISTITUTI DI PREVIDENZA COMPLEMENTARE</t>
  </si>
  <si>
    <t>Δ 2020-21</t>
  </si>
  <si>
    <t xml:space="preserve">    Contributi da privati</t>
  </si>
  <si>
    <t xml:space="preserve">    Altri ricavi n.a.c.</t>
  </si>
  <si>
    <t>Δ 2021-20</t>
  </si>
  <si>
    <t xml:space="preserve">5X1000 </t>
  </si>
  <si>
    <t>Vigili del Fuoco rimborso quota spese anno 2020</t>
  </si>
  <si>
    <t>RIMB. PROGETTO DANTE (2021) NETT (2020)</t>
  </si>
  <si>
    <t xml:space="preserve">ALTRI RICAVI </t>
  </si>
  <si>
    <t>RIMBORSO SPESE CONCERTO E DIRITTI</t>
  </si>
  <si>
    <t>RECUPERO SPESE LAVORI PRESSO TERZI</t>
  </si>
  <si>
    <t>SPESE DI VIAGGIO</t>
  </si>
  <si>
    <t>DIRITTI DIFFUSIONE ON-LINE INTERNET</t>
  </si>
  <si>
    <t>ASSISTENZA SANITARIA</t>
  </si>
  <si>
    <t>SERVIZI TECNICI VARI</t>
  </si>
  <si>
    <t>COSTO CONCERTO SINFONICO</t>
  </si>
  <si>
    <t>ACCORDATURA PIANOFORTE</t>
  </si>
  <si>
    <t>SERVIZIO AUDIO VIDEO DIRETTA STREAMING</t>
  </si>
  <si>
    <t>FULL DIGITAL CAMPAIGN ALL PLATFORM</t>
  </si>
  <si>
    <t xml:space="preserve">SPESE TOURNEE </t>
  </si>
  <si>
    <t>ENERGIA ELETTRICA DEPOSITO</t>
  </si>
  <si>
    <t>SPESE DI ISTRUTTORIA</t>
  </si>
  <si>
    <t>ACQUA DEPOSITO</t>
  </si>
  <si>
    <t>DOTTOR ERNESTO DEVITO</t>
  </si>
  <si>
    <t>CIG: YD42CB6DE0</t>
  </si>
  <si>
    <t>FABLAB BITONTO</t>
  </si>
  <si>
    <t>CIG: Y773046BAD SAN NICOLA</t>
  </si>
  <si>
    <t>CIG: Y773046BAD</t>
  </si>
  <si>
    <t>INTERNATIONAL SOUND SRL</t>
  </si>
  <si>
    <t>CIG: Y1E309AA76</t>
  </si>
  <si>
    <t>MASELLI SILVIO</t>
  </si>
  <si>
    <t>CIG: Y54305E878</t>
  </si>
  <si>
    <t>SICUR.A.L.A. SRL</t>
  </si>
  <si>
    <t>CIG: ZDD26BDCB4</t>
  </si>
  <si>
    <t>CIG: Y983117739</t>
  </si>
  <si>
    <t>CIG: YDD311782C</t>
  </si>
  <si>
    <t>ORCIUOLO FEDELE</t>
  </si>
  <si>
    <t>CONSUL.INTERNAZIONALIZZAZIONE</t>
  </si>
  <si>
    <t>CIG: Y6431B8D7D</t>
  </si>
  <si>
    <t>CIG: Y9731CF266</t>
  </si>
  <si>
    <t>JANUS INVESTIGAZIONI SRL</t>
  </si>
  <si>
    <t>CIG: YED31E25EA</t>
  </si>
  <si>
    <t>MISCEO FRANCESCO</t>
  </si>
  <si>
    <t>CIG: YB431E6DD0</t>
  </si>
  <si>
    <t>TROISI RICERCHE SRL</t>
  </si>
  <si>
    <t>CIG: YD7303AAE8</t>
  </si>
  <si>
    <t>CONSULENZA E SERVIZI PER LE SELEZ.</t>
  </si>
  <si>
    <t>CIG: YD93204982</t>
  </si>
  <si>
    <t>CIG: YEC32467BB</t>
  </si>
  <si>
    <t>DEVITO ERNESTO</t>
  </si>
  <si>
    <t>ODV MAGGIO-LUGLIO 2021</t>
  </si>
  <si>
    <t>DOTT. FEDELE ORCIUOLO</t>
  </si>
  <si>
    <t>CIG:</t>
  </si>
  <si>
    <t>ING.MARIO MONTAGNA</t>
  </si>
  <si>
    <t>APRILE-MAGGIO-GIUGNO 2021</t>
  </si>
  <si>
    <t>MASELLI SIVIO</t>
  </si>
  <si>
    <t>ING. MONTAGNA MARIO</t>
  </si>
  <si>
    <t>LUG-AGO-SETT. RSPP</t>
  </si>
  <si>
    <t>FONDAZ.TEATRO LIRICO CAGLIARI</t>
  </si>
  <si>
    <t>PERS.TECNICO NABUCCO</t>
  </si>
  <si>
    <t>MEDICO COMPETENTE ANNO 2021</t>
  </si>
  <si>
    <t>ODV</t>
  </si>
  <si>
    <t>CONSULENZE TECNICHE PER ALLESTIMENTI</t>
  </si>
  <si>
    <t>CONSULENZA TECNICA DIRETTA STREAMING</t>
  </si>
  <si>
    <t>MEDICO DEL LAVORO</t>
  </si>
  <si>
    <t xml:space="preserve">BUSINESS PROCESS REENGINEERING </t>
  </si>
  <si>
    <t>INVESTIAZIONI VARIE</t>
  </si>
  <si>
    <t>RSPP</t>
  </si>
  <si>
    <t>SOCIETA' DI REVISIONE</t>
  </si>
  <si>
    <t>CONSULENZA ATTIVITA' INERENTE IL NUOVO REGOLAMENTO EUROPEO SULLA PRIVACY</t>
  </si>
  <si>
    <t>CONSULENZA IN MATERIA DI INTERNALIZZAZIONE</t>
  </si>
  <si>
    <t>CONSULENZA MARKETING</t>
  </si>
  <si>
    <t>SUPPORTO ALL'ORGANIZZAZIONE E ALLA GESTIONE DI UNA PROCEDURA PRESELETTIVA PER L'ASSUNZIONE DI UN RESPONSABILE AFFARI GENERALI E SOVRINTENDENZA</t>
  </si>
  <si>
    <t>AIDA</t>
  </si>
  <si>
    <t>RIA</t>
  </si>
  <si>
    <t>40-57</t>
  </si>
  <si>
    <t>39-41-42-52-63</t>
  </si>
  <si>
    <t>43-46-47-49-50-56</t>
  </si>
  <si>
    <t>45-65</t>
  </si>
  <si>
    <t>53-58</t>
  </si>
  <si>
    <t>66-67-69</t>
  </si>
  <si>
    <t>54-68</t>
  </si>
  <si>
    <t>38-48-64-59</t>
  </si>
  <si>
    <t>IAMELE MARILINA</t>
  </si>
  <si>
    <t>RENNA NICOLA</t>
  </si>
  <si>
    <t>MINUTILLO LUISA</t>
  </si>
  <si>
    <t>ANTONELLA VENTOLA</t>
  </si>
  <si>
    <t>MONTAGNA MARIO</t>
  </si>
  <si>
    <t>CIVITELLA CINZIA</t>
  </si>
  <si>
    <t>CAPPELLETTO SANDRO</t>
  </si>
  <si>
    <t>SBISA UGO'</t>
  </si>
  <si>
    <t>MANGINI BARBARA</t>
  </si>
  <si>
    <t>RIA GRANT THORNTON SPA</t>
  </si>
  <si>
    <t>TRADUX CONGRESSI SRLS</t>
  </si>
  <si>
    <t>GENDARMI ROSSELLA</t>
  </si>
  <si>
    <t>VENTOLA ANTONELLA</t>
  </si>
  <si>
    <t>CATALANO PORZIANA MARIA</t>
  </si>
  <si>
    <t>ARCHITHESIS SOCIETA' COOP.</t>
  </si>
  <si>
    <t>ARCHITHESIS SOC.COP.</t>
  </si>
  <si>
    <t>ARCHITHESIS SOC.COOP.</t>
  </si>
  <si>
    <t>UNIVERSITA' IULM</t>
  </si>
  <si>
    <t>COMPENSO PER LA REGISTRAZIONE DEL CONTRATTO DI LOCAZIONE</t>
  </si>
  <si>
    <t>CONFERENZIERI E LIBRETTISTI</t>
  </si>
  <si>
    <t>COMPENSO VISITA GUIDATA</t>
  </si>
  <si>
    <t>COMPENSO PER TRADUZIONE</t>
  </si>
  <si>
    <t>COMPENSO INGEGNERE PER PRATICHE CONCERTI IN DECENTRAMENTO</t>
  </si>
  <si>
    <t>IPPOLITO</t>
  </si>
  <si>
    <t>LATTANZI</t>
  </si>
  <si>
    <t>CAMPIONAMENTO CAMPANE</t>
  </si>
  <si>
    <t>LAVORO ARTIGIANALE E CONSULENZA TECNICA PER LA REALIZZAZIONE DEGLI ALLESTIMENTI</t>
  </si>
  <si>
    <t>TOTALE COMPENSI PROFESSIONALI VARI</t>
  </si>
  <si>
    <t>TOTALE CONSULENZE PROFESIONALI</t>
  </si>
  <si>
    <t>PRO.ORC. TRASFERTE AGGIUNTI</t>
  </si>
  <si>
    <t>AMM. TRASFERTE</t>
  </si>
  <si>
    <t>TEC. TRASFERTE AGGIUNTI</t>
  </si>
  <si>
    <t>SOPRAVVENIENZE PASSIVE</t>
  </si>
  <si>
    <t>RETTIFICA INPS 2020</t>
  </si>
  <si>
    <t>COSTI DI ESERCIZI PRECEDENTI</t>
  </si>
  <si>
    <t>RETTIFICA PREMIO INAIL</t>
  </si>
  <si>
    <t>FONDO DIRIGENTI ANNI PRECEDENTI</t>
  </si>
  <si>
    <t>TARI ANNO 2020</t>
  </si>
  <si>
    <t>NOTE CREDITO A CLIENTI</t>
  </si>
  <si>
    <t xml:space="preserve">CONTRIBUTI INCASSATI NEL 2021 DALLO STATO E DAGLI ENTI LOCALI </t>
  </si>
  <si>
    <t>I° ACCONTO FUS ANNO 2021</t>
  </si>
  <si>
    <t>II° ACCONTO FUS ANNO 2021</t>
  </si>
  <si>
    <t>SALDO FUS ANNO 2021</t>
  </si>
  <si>
    <t>CONTRIBUTO ORDINARIO ANNO 2021</t>
  </si>
  <si>
    <t>Fondo speciale cultura e patrimonio culturale - L.R. n. 40/2016 art. 15 - CONVENZIONE PER L’ATTUAZIONE DEL PROGETTO "OPERA PER I RAGAZZI E FAMILY CONCERT A.S. 2018/2019” TRA REGIONE PUGLIA E F.P.</t>
  </si>
  <si>
    <t>INVESTIGAZIONI VARIE</t>
  </si>
  <si>
    <t>A1</t>
  </si>
  <si>
    <t>A8</t>
  </si>
  <si>
    <t>A6</t>
  </si>
  <si>
    <t>A3</t>
  </si>
  <si>
    <t>SALARI E STIPENDI INDET.</t>
  </si>
  <si>
    <t>ONERI SOCIALI INDET.</t>
  </si>
  <si>
    <t>TRATTAMENTO FINE RAPPORTO INDET.</t>
  </si>
  <si>
    <t>SALARI E STIPENDI AGGIUNTI</t>
  </si>
  <si>
    <t>ONERI SOCIALI AGGIUNTI</t>
  </si>
  <si>
    <t>TRATTAMENTO FINE RAPPORTO AGGIUNTI</t>
  </si>
  <si>
    <t>COSTO DEL PERSONALE INDETERMINATO</t>
  </si>
  <si>
    <t>COSTO DEL PERSONALE AGGIUNTO</t>
  </si>
  <si>
    <t>Δ 2021-22</t>
  </si>
  <si>
    <t>CORO TRASFERTE AGGIUNTI</t>
  </si>
  <si>
    <t>CORO TRASFERTE INDETERMINATI</t>
  </si>
  <si>
    <t>M.C. TRASFERTE INDETERMIN.</t>
  </si>
  <si>
    <t>M.C. TRASFERTE AGGIUNTI</t>
  </si>
  <si>
    <t>TRASFERTE DIRIGENTI</t>
  </si>
  <si>
    <t>TECNICI TRASFERTE INDETERMINATI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</si>
</sst>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\ _€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rgb="FF212529"/>
      <name val="Segoe UI"/>
      <family val="2"/>
    </font>
    <font>
      <b/>
      <sz val="7"/>
      <color rgb="FF212529"/>
      <name val="Segoe U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rgb="FF212529"/>
      <name val="Calibri"/>
      <family val="2"/>
      <scheme val="minor"/>
    </font>
    <font>
      <sz val="11"/>
      <color rgb="FF21252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Border="1" applyAlignment="1">
      <alignment horizontal="right" vertical="center"/>
    </xf>
    <xf numFmtId="10" fontId="0" fillId="0" borderId="0" xfId="0" applyNumberFormat="1"/>
    <xf numFmtId="10" fontId="5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3" fontId="6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0" fontId="2" fillId="0" borderId="4" xfId="0" applyNumberFormat="1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0" fontId="12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0" fontId="13" fillId="0" borderId="4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0" fontId="2" fillId="0" borderId="8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1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center"/>
    </xf>
    <xf numFmtId="10" fontId="13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0" fontId="15" fillId="0" borderId="0" xfId="0" applyFont="1"/>
    <xf numFmtId="0" fontId="0" fillId="0" borderId="17" xfId="0" applyBorder="1"/>
    <xf numFmtId="0" fontId="3" fillId="0" borderId="17" xfId="0" applyFont="1" applyBorder="1"/>
    <xf numFmtId="0" fontId="15" fillId="0" borderId="17" xfId="0" applyFont="1" applyBorder="1"/>
    <xf numFmtId="0" fontId="0" fillId="0" borderId="17" xfId="0" applyBorder="1" applyAlignment="1"/>
    <xf numFmtId="0" fontId="3" fillId="0" borderId="17" xfId="0" applyFont="1" applyBorder="1" applyAlignment="1">
      <alignment wrapText="1"/>
    </xf>
    <xf numFmtId="0" fontId="0" fillId="0" borderId="17" xfId="0" applyFont="1" applyBorder="1"/>
    <xf numFmtId="3" fontId="8" fillId="0" borderId="4" xfId="0" applyNumberFormat="1" applyFont="1" applyBorder="1" applyAlignment="1">
      <alignment horizontal="right" vertical="center"/>
    </xf>
    <xf numFmtId="0" fontId="17" fillId="3" borderId="18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vertical="center" wrapText="1"/>
    </xf>
    <xf numFmtId="4" fontId="16" fillId="3" borderId="18" xfId="0" applyNumberFormat="1" applyFont="1" applyFill="1" applyBorder="1" applyAlignment="1">
      <alignment horizontal="right" vertical="center" wrapText="1"/>
    </xf>
    <xf numFmtId="14" fontId="16" fillId="3" borderId="18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/>
    <xf numFmtId="3" fontId="0" fillId="0" borderId="11" xfId="0" applyNumberFormat="1" applyBorder="1"/>
    <xf numFmtId="0" fontId="3" fillId="0" borderId="11" xfId="0" applyFont="1" applyBorder="1" applyAlignment="1">
      <alignment horizontal="right"/>
    </xf>
    <xf numFmtId="3" fontId="3" fillId="0" borderId="11" xfId="0" applyNumberFormat="1" applyFont="1" applyBorder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0" fillId="0" borderId="11" xfId="0" applyBorder="1" applyAlignment="1">
      <alignment wrapText="1"/>
    </xf>
    <xf numFmtId="0" fontId="20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21" fillId="0" borderId="24" xfId="0" applyFont="1" applyBorder="1" applyAlignment="1">
      <alignment vertical="center"/>
    </xf>
    <xf numFmtId="3" fontId="21" fillId="0" borderId="24" xfId="0" applyNumberFormat="1" applyFont="1" applyBorder="1" applyAlignment="1">
      <alignment horizontal="right" vertical="center"/>
    </xf>
    <xf numFmtId="0" fontId="18" fillId="0" borderId="24" xfId="0" applyFont="1" applyBorder="1" applyAlignment="1">
      <alignment vertical="center"/>
    </xf>
    <xf numFmtId="3" fontId="18" fillId="0" borderId="24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" fontId="0" fillId="2" borderId="0" xfId="0" applyNumberFormat="1" applyFill="1"/>
    <xf numFmtId="0" fontId="0" fillId="2" borderId="0" xfId="0" applyFill="1"/>
    <xf numFmtId="0" fontId="0" fillId="5" borderId="0" xfId="0" applyFill="1"/>
    <xf numFmtId="3" fontId="0" fillId="5" borderId="0" xfId="0" applyNumberFormat="1" applyFill="1"/>
    <xf numFmtId="0" fontId="0" fillId="5" borderId="0" xfId="0" applyFill="1" applyAlignment="1">
      <alignment wrapText="1"/>
    </xf>
    <xf numFmtId="0" fontId="3" fillId="0" borderId="11" xfId="0" applyFont="1" applyBorder="1"/>
    <xf numFmtId="0" fontId="22" fillId="0" borderId="3" xfId="0" applyFont="1" applyBorder="1" applyAlignment="1">
      <alignment vertical="center"/>
    </xf>
    <xf numFmtId="0" fontId="23" fillId="3" borderId="18" xfId="0" applyFont="1" applyFill="1" applyBorder="1" applyAlignment="1">
      <alignment horizontal="center" vertical="center" wrapText="1"/>
    </xf>
    <xf numFmtId="14" fontId="24" fillId="3" borderId="18" xfId="0" applyNumberFormat="1" applyFont="1" applyFill="1" applyBorder="1" applyAlignment="1">
      <alignment horizontal="center" vertical="center" wrapText="1"/>
    </xf>
    <xf numFmtId="4" fontId="24" fillId="3" borderId="18" xfId="0" applyNumberFormat="1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5" fillId="6" borderId="4" xfId="0" applyNumberFormat="1" applyFont="1" applyFill="1" applyBorder="1" applyAlignment="1">
      <alignment horizontal="right" vertical="center"/>
    </xf>
    <xf numFmtId="164" fontId="5" fillId="5" borderId="4" xfId="0" applyNumberFormat="1" applyFont="1" applyFill="1" applyBorder="1" applyAlignment="1">
      <alignment horizontal="right" vertical="center"/>
    </xf>
    <xf numFmtId="164" fontId="5" fillId="7" borderId="4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2148205</xdr:colOff>
      <xdr:row>22</xdr:row>
      <xdr:rowOff>146050</xdr:rowOff>
    </xdr:to>
    <xdr:pic>
      <xdr:nvPicPr>
        <xdr:cNvPr id="2" name="image4.jpeg">
          <a:extLst>
            <a:ext uri="{FF2B5EF4-FFF2-40B4-BE49-F238E27FC236}">
              <a16:creationId xmlns:a16="http://schemas.microsoft.com/office/drawing/2014/main" xmlns="" id="{069FFC06-7EFF-4964-8F23-43CA09318A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7600" y="552450"/>
          <a:ext cx="5608955" cy="364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L87"/>
  <sheetViews>
    <sheetView topLeftCell="U41" workbookViewId="0">
      <selection activeCell="AD101" sqref="AD101"/>
    </sheetView>
  </sheetViews>
  <sheetFormatPr defaultRowHeight="15" x14ac:dyDescent="0.25"/>
  <cols>
    <col min="1" max="1" width="17.28515625" bestFit="1" customWidth="1"/>
    <col min="2" max="2" width="7.42578125" bestFit="1" customWidth="1"/>
    <col min="3" max="3" width="12" customWidth="1"/>
    <col min="4" max="4" width="12" bestFit="1" customWidth="1"/>
    <col min="5" max="5" width="10.5703125" customWidth="1"/>
    <col min="6" max="6" width="10.85546875" bestFit="1" customWidth="1"/>
    <col min="7" max="7" width="46.85546875" bestFit="1" customWidth="1"/>
    <col min="9" max="9" width="15.28515625" bestFit="1" customWidth="1"/>
    <col min="10" max="10" width="7.42578125" bestFit="1" customWidth="1"/>
    <col min="11" max="11" width="11" customWidth="1"/>
    <col min="12" max="12" width="11.85546875" customWidth="1"/>
    <col min="13" max="13" width="10.28515625" customWidth="1"/>
    <col min="14" max="14" width="12.42578125" customWidth="1"/>
    <col min="15" max="15" width="21.140625" bestFit="1" customWidth="1"/>
    <col min="17" max="17" width="13.140625" customWidth="1"/>
    <col min="18" max="18" width="12.28515625" customWidth="1"/>
    <col min="19" max="19" width="11.140625" customWidth="1"/>
    <col min="20" max="20" width="12" customWidth="1"/>
    <col min="21" max="21" width="18.7109375" bestFit="1" customWidth="1"/>
    <col min="23" max="23" width="11.5703125" customWidth="1"/>
    <col min="24" max="24" width="10.28515625" customWidth="1"/>
    <col min="25" max="25" width="10.42578125" customWidth="1"/>
    <col min="26" max="26" width="10.5703125" customWidth="1"/>
    <col min="27" max="27" width="23.7109375" bestFit="1" customWidth="1"/>
    <col min="33" max="33" width="21.5703125" bestFit="1" customWidth="1"/>
  </cols>
  <sheetData>
    <row r="6" spans="1:8" thickBot="1" x14ac:dyDescent="0.4"/>
    <row r="7" spans="1:8" ht="42.6" thickBot="1" x14ac:dyDescent="0.4">
      <c r="A7" s="91"/>
      <c r="B7" s="92" t="s">
        <v>276</v>
      </c>
      <c r="C7" s="93" t="s">
        <v>277</v>
      </c>
      <c r="D7" s="93" t="s">
        <v>280</v>
      </c>
      <c r="E7" s="93" t="s">
        <v>281</v>
      </c>
      <c r="F7" s="93" t="s">
        <v>278</v>
      </c>
    </row>
    <row r="8" spans="1:8" thickBot="1" x14ac:dyDescent="0.4">
      <c r="A8" s="94" t="s">
        <v>279</v>
      </c>
      <c r="B8" s="95">
        <v>2017</v>
      </c>
      <c r="C8" s="86">
        <v>7000</v>
      </c>
      <c r="D8" s="86">
        <f>+C8*10%</f>
        <v>700</v>
      </c>
      <c r="E8" s="86">
        <f>350+700+700+700</f>
        <v>2450</v>
      </c>
      <c r="F8" s="86">
        <f>4550-700</f>
        <v>3850</v>
      </c>
    </row>
    <row r="9" spans="1:8" thickBot="1" x14ac:dyDescent="0.4">
      <c r="A9" s="94" t="s">
        <v>279</v>
      </c>
      <c r="B9" s="95">
        <v>2018</v>
      </c>
      <c r="C9" s="86">
        <v>34610</v>
      </c>
      <c r="D9" s="86">
        <f t="shared" ref="D9:D11" si="0">+C9*10%</f>
        <v>3461</v>
      </c>
      <c r="E9" s="86">
        <f>1730+3461+3461</f>
        <v>8652</v>
      </c>
      <c r="F9" s="86">
        <f>25958-3461</f>
        <v>22497</v>
      </c>
    </row>
    <row r="10" spans="1:8" thickBot="1" x14ac:dyDescent="0.4">
      <c r="A10" s="94" t="s">
        <v>279</v>
      </c>
      <c r="B10" s="95">
        <v>2019</v>
      </c>
      <c r="C10" s="86">
        <v>138553</v>
      </c>
      <c r="D10" s="86">
        <f t="shared" si="0"/>
        <v>13855.300000000001</v>
      </c>
      <c r="E10" s="86">
        <f>6928+13855</f>
        <v>20783</v>
      </c>
      <c r="F10" s="86">
        <f>+C10-D10-E10</f>
        <v>103914.7</v>
      </c>
    </row>
    <row r="11" spans="1:8" thickBot="1" x14ac:dyDescent="0.4">
      <c r="A11" s="97" t="s">
        <v>279</v>
      </c>
      <c r="B11" s="95">
        <v>2020</v>
      </c>
      <c r="C11" s="86">
        <v>83550</v>
      </c>
      <c r="D11" s="86">
        <f t="shared" si="0"/>
        <v>8355</v>
      </c>
      <c r="E11" s="86">
        <f>+D11/2</f>
        <v>4177.5</v>
      </c>
      <c r="F11" s="86">
        <f t="shared" ref="F11:F12" si="1">+C11-D11-E11</f>
        <v>71017.5</v>
      </c>
    </row>
    <row r="12" spans="1:8" thickBot="1" x14ac:dyDescent="0.4">
      <c r="A12" s="97" t="s">
        <v>279</v>
      </c>
      <c r="B12" s="95">
        <v>2021</v>
      </c>
      <c r="C12" s="86">
        <v>22350</v>
      </c>
      <c r="D12" s="86">
        <f>+(10800*10%)/2+(11550*10%)</f>
        <v>1695</v>
      </c>
      <c r="E12" s="86">
        <v>0</v>
      </c>
      <c r="F12" s="86">
        <f t="shared" si="1"/>
        <v>20655</v>
      </c>
    </row>
    <row r="13" spans="1:8" thickBot="1" x14ac:dyDescent="0.4">
      <c r="A13" s="17" t="s">
        <v>16</v>
      </c>
      <c r="B13" s="98"/>
      <c r="C13" s="99">
        <f>SUM(C8:C12)</f>
        <v>286063</v>
      </c>
      <c r="D13" s="99">
        <f t="shared" ref="D13:F13" si="2">SUM(D8:D12)</f>
        <v>28066.300000000003</v>
      </c>
      <c r="E13" s="99">
        <f t="shared" si="2"/>
        <v>36062.5</v>
      </c>
      <c r="F13" s="99">
        <f t="shared" si="2"/>
        <v>221934.2</v>
      </c>
    </row>
    <row r="15" spans="1:8" thickBot="1" x14ac:dyDescent="0.4"/>
    <row r="16" spans="1:8" ht="42.75" customHeight="1" thickBot="1" x14ac:dyDescent="0.4">
      <c r="D16" s="5"/>
      <c r="G16" s="155" t="s">
        <v>284</v>
      </c>
      <c r="H16" s="156"/>
    </row>
    <row r="17" spans="7:14" thickBot="1" x14ac:dyDescent="0.4">
      <c r="G17" s="100" t="s">
        <v>282</v>
      </c>
      <c r="H17" s="101">
        <f>815614.77-797084.77</f>
        <v>18530</v>
      </c>
    </row>
    <row r="18" spans="7:14" thickBot="1" x14ac:dyDescent="0.4">
      <c r="G18" s="100" t="s">
        <v>285</v>
      </c>
      <c r="H18" s="101">
        <f>149583.99-113412.15</f>
        <v>36171.839999999997</v>
      </c>
    </row>
    <row r="19" spans="7:14" ht="15.75" thickBot="1" x14ac:dyDescent="0.3">
      <c r="G19" s="100" t="s">
        <v>283</v>
      </c>
      <c r="H19" s="101">
        <f>209473.56-190377.68</f>
        <v>19095.880000000005</v>
      </c>
    </row>
    <row r="20" spans="7:14" thickBot="1" x14ac:dyDescent="0.4">
      <c r="G20" s="102" t="s">
        <v>16</v>
      </c>
      <c r="H20" s="103">
        <f>SUM(H17:H19)</f>
        <v>73797.72</v>
      </c>
    </row>
    <row r="22" spans="7:14" thickBot="1" x14ac:dyDescent="0.4"/>
    <row r="23" spans="7:14" ht="42.6" thickBot="1" x14ac:dyDescent="0.4">
      <c r="I23" s="91"/>
      <c r="J23" s="92" t="s">
        <v>276</v>
      </c>
      <c r="K23" s="93" t="s">
        <v>277</v>
      </c>
      <c r="L23" s="93" t="s">
        <v>280</v>
      </c>
      <c r="M23" s="93" t="s">
        <v>281</v>
      </c>
      <c r="N23" s="93" t="s">
        <v>278</v>
      </c>
    </row>
    <row r="24" spans="7:14" thickBot="1" x14ac:dyDescent="0.4">
      <c r="I24" s="94" t="s">
        <v>282</v>
      </c>
      <c r="J24" s="95">
        <v>2010</v>
      </c>
      <c r="K24" s="86">
        <v>31498</v>
      </c>
      <c r="L24" s="96">
        <v>0</v>
      </c>
      <c r="M24" s="86">
        <v>31498</v>
      </c>
      <c r="N24" s="86">
        <f>+K24-L24-M24</f>
        <v>0</v>
      </c>
    </row>
    <row r="25" spans="7:14" thickBot="1" x14ac:dyDescent="0.4">
      <c r="I25" s="94" t="s">
        <v>282</v>
      </c>
      <c r="J25" s="95">
        <v>2013</v>
      </c>
      <c r="K25" s="86">
        <v>36578</v>
      </c>
      <c r="L25" s="86">
        <v>2102</v>
      </c>
      <c r="M25" s="86">
        <v>34476</v>
      </c>
      <c r="N25" s="86">
        <f t="shared" ref="N25:N30" si="3">+K25-L25-M25</f>
        <v>0</v>
      </c>
    </row>
    <row r="26" spans="7:14" thickBot="1" x14ac:dyDescent="0.4">
      <c r="I26" s="94" t="s">
        <v>282</v>
      </c>
      <c r="J26" s="95">
        <v>2017</v>
      </c>
      <c r="K26" s="86">
        <v>45550</v>
      </c>
      <c r="L26" s="86">
        <f t="shared" ref="L26:L28" si="4">+K26*10%</f>
        <v>4555</v>
      </c>
      <c r="M26" s="86">
        <v>17992</v>
      </c>
      <c r="N26" s="86">
        <f t="shared" si="3"/>
        <v>23003</v>
      </c>
    </row>
    <row r="27" spans="7:14" thickBot="1" x14ac:dyDescent="0.4">
      <c r="I27" s="94" t="s">
        <v>282</v>
      </c>
      <c r="J27" s="95">
        <v>2018</v>
      </c>
      <c r="K27" s="86">
        <v>359194</v>
      </c>
      <c r="L27" s="86">
        <f t="shared" si="4"/>
        <v>35919.4</v>
      </c>
      <c r="M27" s="86">
        <v>89798</v>
      </c>
      <c r="N27" s="86">
        <f t="shared" si="3"/>
        <v>233476.59999999998</v>
      </c>
    </row>
    <row r="28" spans="7:14" thickBot="1" x14ac:dyDescent="0.4">
      <c r="I28" s="94" t="s">
        <v>282</v>
      </c>
      <c r="J28" s="95">
        <v>2019</v>
      </c>
      <c r="K28" s="86">
        <v>66088</v>
      </c>
      <c r="L28" s="86">
        <f t="shared" si="4"/>
        <v>6608.8</v>
      </c>
      <c r="M28" s="86">
        <v>9913</v>
      </c>
      <c r="N28" s="86">
        <f t="shared" si="3"/>
        <v>49566.2</v>
      </c>
    </row>
    <row r="29" spans="7:14" thickBot="1" x14ac:dyDescent="0.4">
      <c r="I29" s="97" t="s">
        <v>282</v>
      </c>
      <c r="J29" s="95">
        <v>2020</v>
      </c>
      <c r="K29" s="86">
        <v>258177</v>
      </c>
      <c r="L29" s="86">
        <f>+K29*10%</f>
        <v>25817.7</v>
      </c>
      <c r="M29" s="86">
        <v>12910</v>
      </c>
      <c r="N29" s="86">
        <f t="shared" si="3"/>
        <v>219449.3</v>
      </c>
    </row>
    <row r="30" spans="7:14" thickBot="1" x14ac:dyDescent="0.4">
      <c r="I30" s="97" t="s">
        <v>282</v>
      </c>
      <c r="J30" s="95">
        <v>2021</v>
      </c>
      <c r="K30" s="86">
        <v>18530</v>
      </c>
      <c r="L30" s="86">
        <f>+K30*5%+1</f>
        <v>927.5</v>
      </c>
      <c r="M30" s="96">
        <v>0</v>
      </c>
      <c r="N30" s="86">
        <f t="shared" si="3"/>
        <v>17602.5</v>
      </c>
    </row>
    <row r="31" spans="7:14" thickBot="1" x14ac:dyDescent="0.4">
      <c r="I31" s="17" t="s">
        <v>16</v>
      </c>
      <c r="J31" s="105"/>
      <c r="K31" s="99">
        <f>SUM(K24:K30)</f>
        <v>815615</v>
      </c>
      <c r="L31" s="99">
        <f>SUM(L24:L30)</f>
        <v>75930.400000000009</v>
      </c>
      <c r="M31" s="99">
        <v>132937</v>
      </c>
      <c r="N31" s="99">
        <f>SUM(N24:N30)</f>
        <v>543097.59999999998</v>
      </c>
    </row>
    <row r="32" spans="7:14" thickBot="1" x14ac:dyDescent="0.4"/>
    <row r="33" spans="15:20" ht="28.5" thickBot="1" x14ac:dyDescent="0.4">
      <c r="O33" s="91"/>
      <c r="P33" s="92" t="s">
        <v>276</v>
      </c>
      <c r="Q33" s="104" t="s">
        <v>277</v>
      </c>
      <c r="R33" s="104" t="s">
        <v>280</v>
      </c>
      <c r="S33" s="104" t="s">
        <v>281</v>
      </c>
      <c r="T33" s="104" t="s">
        <v>278</v>
      </c>
    </row>
    <row r="34" spans="15:20" thickBot="1" x14ac:dyDescent="0.4">
      <c r="O34" s="94" t="s">
        <v>286</v>
      </c>
      <c r="P34" s="95">
        <v>2009</v>
      </c>
      <c r="Q34" s="86">
        <v>344605</v>
      </c>
      <c r="R34" s="96">
        <v>0</v>
      </c>
      <c r="S34" s="86">
        <v>344605</v>
      </c>
      <c r="T34" s="96">
        <v>0</v>
      </c>
    </row>
    <row r="35" spans="15:20" thickBot="1" x14ac:dyDescent="0.4">
      <c r="O35" s="94" t="s">
        <v>287</v>
      </c>
      <c r="P35" s="95">
        <v>2010</v>
      </c>
      <c r="Q35" s="86">
        <v>14440</v>
      </c>
      <c r="R35" s="96">
        <v>0</v>
      </c>
      <c r="S35" s="86">
        <v>14440</v>
      </c>
      <c r="T35" s="96">
        <v>0</v>
      </c>
    </row>
    <row r="36" spans="15:20" thickBot="1" x14ac:dyDescent="0.4">
      <c r="O36" s="94" t="s">
        <v>288</v>
      </c>
      <c r="P36" s="95">
        <v>2011</v>
      </c>
      <c r="Q36" s="86">
        <v>33264</v>
      </c>
      <c r="R36" s="96">
        <v>0</v>
      </c>
      <c r="S36" s="86">
        <v>33264</v>
      </c>
      <c r="T36" s="96">
        <v>0</v>
      </c>
    </row>
    <row r="37" spans="15:20" thickBot="1" x14ac:dyDescent="0.4">
      <c r="O37" s="94" t="s">
        <v>289</v>
      </c>
      <c r="P37" s="95">
        <v>2011</v>
      </c>
      <c r="Q37" s="86">
        <v>7474</v>
      </c>
      <c r="R37" s="96">
        <v>0</v>
      </c>
      <c r="S37" s="86">
        <v>7474</v>
      </c>
      <c r="T37" s="96">
        <v>0</v>
      </c>
    </row>
    <row r="38" spans="15:20" thickBot="1" x14ac:dyDescent="0.4">
      <c r="O38" s="94" t="s">
        <v>290</v>
      </c>
      <c r="P38" s="95">
        <v>2012</v>
      </c>
      <c r="Q38" s="86">
        <v>46630</v>
      </c>
      <c r="R38" s="96">
        <v>0</v>
      </c>
      <c r="S38" s="86">
        <v>46630</v>
      </c>
      <c r="T38" s="96">
        <v>0</v>
      </c>
    </row>
    <row r="39" spans="15:20" thickBot="1" x14ac:dyDescent="0.4">
      <c r="O39" s="94" t="s">
        <v>291</v>
      </c>
      <c r="P39" s="95">
        <v>2013</v>
      </c>
      <c r="Q39" s="86">
        <v>16879</v>
      </c>
      <c r="R39" s="96">
        <v>0</v>
      </c>
      <c r="S39" s="86">
        <v>16879</v>
      </c>
      <c r="T39" s="96">
        <v>0</v>
      </c>
    </row>
    <row r="40" spans="15:20" thickBot="1" x14ac:dyDescent="0.4">
      <c r="O40" s="94" t="s">
        <v>292</v>
      </c>
      <c r="P40" s="95">
        <v>2014</v>
      </c>
      <c r="Q40" s="86">
        <v>19508</v>
      </c>
      <c r="R40" s="86">
        <v>0</v>
      </c>
      <c r="S40" s="86">
        <f>18142+1366</f>
        <v>19508</v>
      </c>
      <c r="T40" s="96">
        <v>0</v>
      </c>
    </row>
    <row r="41" spans="15:20" thickBot="1" x14ac:dyDescent="0.4">
      <c r="O41" s="94" t="s">
        <v>293</v>
      </c>
      <c r="P41" s="95">
        <v>2017</v>
      </c>
      <c r="Q41" s="86">
        <v>6900</v>
      </c>
      <c r="R41" s="86">
        <v>1070</v>
      </c>
      <c r="S41" s="86">
        <f>2675+1070</f>
        <v>3745</v>
      </c>
      <c r="T41" s="86">
        <f>3155-1070</f>
        <v>2085</v>
      </c>
    </row>
    <row r="42" spans="15:20" thickBot="1" x14ac:dyDescent="0.4">
      <c r="O42" s="94" t="s">
        <v>294</v>
      </c>
      <c r="P42" s="95">
        <v>2017</v>
      </c>
      <c r="Q42" s="86">
        <v>3525</v>
      </c>
      <c r="R42" s="96">
        <v>546</v>
      </c>
      <c r="S42" s="86">
        <f>1365+546</f>
        <v>1911</v>
      </c>
      <c r="T42" s="86">
        <f>1614-546</f>
        <v>1068</v>
      </c>
    </row>
    <row r="43" spans="15:20" thickBot="1" x14ac:dyDescent="0.4">
      <c r="O43" s="94" t="s">
        <v>295</v>
      </c>
      <c r="P43" s="95">
        <v>2017</v>
      </c>
      <c r="Q43" s="86">
        <v>2459</v>
      </c>
      <c r="R43" s="96">
        <v>381</v>
      </c>
      <c r="S43" s="96">
        <f>953+381</f>
        <v>1334</v>
      </c>
      <c r="T43" s="86">
        <f>1125-381</f>
        <v>744</v>
      </c>
    </row>
    <row r="44" spans="15:20" thickBot="1" x14ac:dyDescent="0.4">
      <c r="O44" s="94" t="s">
        <v>296</v>
      </c>
      <c r="P44" s="95">
        <v>2017</v>
      </c>
      <c r="Q44" s="86">
        <v>2215</v>
      </c>
      <c r="R44" s="96">
        <v>343</v>
      </c>
      <c r="S44" s="96">
        <f>858+343</f>
        <v>1201</v>
      </c>
      <c r="T44" s="86">
        <f>1014-343</f>
        <v>671</v>
      </c>
    </row>
    <row r="45" spans="15:20" thickBot="1" x14ac:dyDescent="0.4">
      <c r="O45" s="94" t="s">
        <v>297</v>
      </c>
      <c r="P45" s="95">
        <v>2017</v>
      </c>
      <c r="Q45" s="86">
        <v>31500</v>
      </c>
      <c r="R45" s="86">
        <v>4883</v>
      </c>
      <c r="S45" s="86">
        <f>12207+4883</f>
        <v>17090</v>
      </c>
      <c r="T45" s="86">
        <f>14410-4883</f>
        <v>9527</v>
      </c>
    </row>
    <row r="46" spans="15:20" thickBot="1" x14ac:dyDescent="0.4">
      <c r="O46" s="94" t="s">
        <v>298</v>
      </c>
      <c r="P46" s="95">
        <v>2017</v>
      </c>
      <c r="Q46" s="86">
        <v>4970</v>
      </c>
      <c r="R46" s="96">
        <v>770</v>
      </c>
      <c r="S46" s="86">
        <f>1925+770</f>
        <v>2695</v>
      </c>
      <c r="T46" s="86">
        <f>2275-770</f>
        <v>1505</v>
      </c>
    </row>
    <row r="47" spans="15:20" thickBot="1" x14ac:dyDescent="0.4">
      <c r="O47" s="94" t="s">
        <v>299</v>
      </c>
      <c r="P47" s="95">
        <v>2018</v>
      </c>
      <c r="Q47" s="86">
        <v>146146</v>
      </c>
      <c r="R47" s="86">
        <v>22653</v>
      </c>
      <c r="S47" s="86">
        <f>33889+22653</f>
        <v>56542</v>
      </c>
      <c r="T47" s="86">
        <f>89514-22653</f>
        <v>66861</v>
      </c>
    </row>
    <row r="48" spans="15:20" thickBot="1" x14ac:dyDescent="0.4">
      <c r="O48" s="94" t="s">
        <v>300</v>
      </c>
      <c r="P48" s="95">
        <v>2019</v>
      </c>
      <c r="Q48" s="86">
        <v>32810</v>
      </c>
      <c r="R48" s="86">
        <v>5086</v>
      </c>
      <c r="S48" s="86">
        <f>2542+5086</f>
        <v>7628</v>
      </c>
      <c r="T48" s="86">
        <f>25183-5086</f>
        <v>20097</v>
      </c>
    </row>
    <row r="49" spans="15:32" thickBot="1" x14ac:dyDescent="0.4">
      <c r="O49" s="94" t="s">
        <v>301</v>
      </c>
      <c r="P49" s="95">
        <v>2020</v>
      </c>
      <c r="Q49" s="96">
        <v>0</v>
      </c>
      <c r="R49" s="96">
        <v>0</v>
      </c>
      <c r="S49" s="96">
        <v>0</v>
      </c>
      <c r="T49" s="96">
        <v>0</v>
      </c>
    </row>
    <row r="50" spans="15:32" thickBot="1" x14ac:dyDescent="0.4">
      <c r="O50" s="94" t="s">
        <v>302</v>
      </c>
      <c r="P50" s="95">
        <v>2021</v>
      </c>
      <c r="Q50" s="96">
        <v>0</v>
      </c>
      <c r="R50" s="96">
        <v>0</v>
      </c>
      <c r="S50" s="96">
        <v>0</v>
      </c>
      <c r="T50" s="96">
        <v>0</v>
      </c>
    </row>
    <row r="51" spans="15:32" thickBot="1" x14ac:dyDescent="0.4">
      <c r="O51" s="17" t="s">
        <v>16</v>
      </c>
      <c r="P51" s="105"/>
      <c r="Q51" s="99">
        <f>SUM(Q34:Q50)</f>
        <v>713325</v>
      </c>
      <c r="R51" s="99">
        <f t="shared" ref="R51:T51" si="5">SUM(R34:R50)</f>
        <v>35732</v>
      </c>
      <c r="S51" s="99">
        <f t="shared" si="5"/>
        <v>574946</v>
      </c>
      <c r="T51" s="99">
        <f t="shared" si="5"/>
        <v>102558</v>
      </c>
    </row>
    <row r="52" spans="15:32" thickBot="1" x14ac:dyDescent="0.4"/>
    <row r="53" spans="15:32" ht="42.6" thickBot="1" x14ac:dyDescent="0.4">
      <c r="U53" s="91"/>
      <c r="V53" s="92" t="s">
        <v>276</v>
      </c>
      <c r="W53" s="104" t="s">
        <v>277</v>
      </c>
      <c r="X53" s="104" t="s">
        <v>280</v>
      </c>
      <c r="Y53" s="104" t="s">
        <v>281</v>
      </c>
      <c r="Z53" s="104" t="s">
        <v>278</v>
      </c>
    </row>
    <row r="54" spans="15:32" thickBot="1" x14ac:dyDescent="0.4">
      <c r="U54" s="94" t="s">
        <v>303</v>
      </c>
      <c r="V54" s="95">
        <v>2013</v>
      </c>
      <c r="W54" s="96">
        <v>327</v>
      </c>
      <c r="X54" s="96">
        <v>0</v>
      </c>
      <c r="Y54" s="96">
        <v>327</v>
      </c>
      <c r="Z54" s="96">
        <v>0</v>
      </c>
    </row>
    <row r="55" spans="15:32" thickBot="1" x14ac:dyDescent="0.4">
      <c r="U55" s="94" t="s">
        <v>304</v>
      </c>
      <c r="V55" s="95">
        <v>2017</v>
      </c>
      <c r="W55" s="86">
        <v>23600</v>
      </c>
      <c r="X55" s="96">
        <v>0</v>
      </c>
      <c r="Y55" s="86">
        <v>23600</v>
      </c>
      <c r="Z55" s="96">
        <v>0</v>
      </c>
    </row>
    <row r="56" spans="15:32" thickBot="1" x14ac:dyDescent="0.4">
      <c r="U56" s="94" t="s">
        <v>305</v>
      </c>
      <c r="V56" s="95">
        <v>2018</v>
      </c>
      <c r="W56" s="86">
        <v>22093</v>
      </c>
      <c r="X56" s="96">
        <v>0</v>
      </c>
      <c r="Y56" s="86">
        <v>22093</v>
      </c>
      <c r="Z56" s="96">
        <v>0</v>
      </c>
    </row>
    <row r="57" spans="15:32" thickBot="1" x14ac:dyDescent="0.4">
      <c r="U57" s="94" t="s">
        <v>305</v>
      </c>
      <c r="V57" s="95">
        <v>2019</v>
      </c>
      <c r="W57" s="86">
        <v>33385</v>
      </c>
      <c r="X57" s="86">
        <v>6623</v>
      </c>
      <c r="Y57" s="86">
        <f>+W57-X57-Z57</f>
        <v>13399</v>
      </c>
      <c r="Z57" s="86">
        <f>19986-6623</f>
        <v>13363</v>
      </c>
    </row>
    <row r="58" spans="15:32" thickBot="1" x14ac:dyDescent="0.4">
      <c r="U58" s="94" t="s">
        <v>305</v>
      </c>
      <c r="V58" s="95">
        <v>2020</v>
      </c>
      <c r="W58" s="86">
        <v>34007</v>
      </c>
      <c r="X58" s="86">
        <v>0</v>
      </c>
      <c r="Y58" s="86">
        <v>34007</v>
      </c>
      <c r="Z58" s="96">
        <v>0</v>
      </c>
    </row>
    <row r="59" spans="15:32" thickBot="1" x14ac:dyDescent="0.4">
      <c r="U59" s="94" t="s">
        <v>305</v>
      </c>
      <c r="V59" s="95">
        <v>2021</v>
      </c>
      <c r="W59" s="86">
        <f>149583.99-113412.15</f>
        <v>36171.839999999997</v>
      </c>
      <c r="X59" s="86">
        <v>36172</v>
      </c>
      <c r="Y59" s="96">
        <v>0</v>
      </c>
      <c r="Z59" s="96">
        <v>0</v>
      </c>
    </row>
    <row r="60" spans="15:32" thickBot="1" x14ac:dyDescent="0.4">
      <c r="U60" s="17" t="s">
        <v>16</v>
      </c>
      <c r="V60" s="105"/>
      <c r="W60" s="99">
        <f>SUM(W54:W59)</f>
        <v>149583.84</v>
      </c>
      <c r="X60" s="99">
        <f t="shared" ref="X60:Z60" si="6">SUM(X54:X59)</f>
        <v>42795</v>
      </c>
      <c r="Y60" s="99">
        <f t="shared" si="6"/>
        <v>93426</v>
      </c>
      <c r="Z60" s="99">
        <f t="shared" si="6"/>
        <v>13363</v>
      </c>
    </row>
    <row r="61" spans="15:32" thickBot="1" x14ac:dyDescent="0.4"/>
    <row r="62" spans="15:32" ht="39.6" thickBot="1" x14ac:dyDescent="0.4">
      <c r="AA62" s="91"/>
      <c r="AB62" s="106" t="s">
        <v>276</v>
      </c>
      <c r="AC62" s="107" t="s">
        <v>277</v>
      </c>
      <c r="AD62" s="107" t="s">
        <v>280</v>
      </c>
      <c r="AE62" s="107" t="s">
        <v>281</v>
      </c>
      <c r="AF62" s="107" t="s">
        <v>278</v>
      </c>
    </row>
    <row r="63" spans="15:32" thickBot="1" x14ac:dyDescent="0.4">
      <c r="AA63" s="94" t="s">
        <v>306</v>
      </c>
      <c r="AB63" s="95">
        <v>2008</v>
      </c>
      <c r="AC63" s="86">
        <v>65048</v>
      </c>
      <c r="AD63" s="86">
        <v>0</v>
      </c>
      <c r="AE63" s="86">
        <v>65048</v>
      </c>
      <c r="AF63" s="86">
        <v>0</v>
      </c>
    </row>
    <row r="64" spans="15:32" thickBot="1" x14ac:dyDescent="0.4">
      <c r="AA64" s="94" t="s">
        <v>307</v>
      </c>
      <c r="AB64" s="95">
        <v>2009</v>
      </c>
      <c r="AC64" s="86">
        <v>28509</v>
      </c>
      <c r="AD64" s="86">
        <v>0</v>
      </c>
      <c r="AE64" s="86">
        <v>28509</v>
      </c>
      <c r="AF64" s="86">
        <v>0</v>
      </c>
    </row>
    <row r="65" spans="27:38" thickBot="1" x14ac:dyDescent="0.4">
      <c r="AA65" s="94" t="s">
        <v>308</v>
      </c>
      <c r="AB65" s="95">
        <v>2010</v>
      </c>
      <c r="AC65" s="86">
        <v>35785</v>
      </c>
      <c r="AD65" s="86">
        <v>0</v>
      </c>
      <c r="AE65" s="86">
        <v>35785</v>
      </c>
      <c r="AF65" s="86">
        <v>0</v>
      </c>
    </row>
    <row r="66" spans="27:38" thickBot="1" x14ac:dyDescent="0.4">
      <c r="AA66" s="94" t="s">
        <v>309</v>
      </c>
      <c r="AB66" s="95">
        <v>2011</v>
      </c>
      <c r="AC66" s="86">
        <v>4117</v>
      </c>
      <c r="AD66" s="86">
        <v>0</v>
      </c>
      <c r="AE66" s="86">
        <v>4117</v>
      </c>
      <c r="AF66" s="86">
        <v>0</v>
      </c>
    </row>
    <row r="67" spans="27:38" thickBot="1" x14ac:dyDescent="0.4">
      <c r="AA67" s="94" t="s">
        <v>310</v>
      </c>
      <c r="AB67" s="95">
        <v>2013</v>
      </c>
      <c r="AC67" s="86">
        <v>18664</v>
      </c>
      <c r="AD67" s="86">
        <v>747</v>
      </c>
      <c r="AE67" s="86">
        <f>+AC67-AD67</f>
        <v>17917</v>
      </c>
      <c r="AF67" s="86">
        <v>0</v>
      </c>
    </row>
    <row r="68" spans="27:38" ht="15.75" thickBot="1" x14ac:dyDescent="0.3">
      <c r="AA68" s="94" t="s">
        <v>311</v>
      </c>
      <c r="AB68" s="95">
        <v>2018</v>
      </c>
      <c r="AC68" s="86">
        <v>26672</v>
      </c>
      <c r="AD68" s="86">
        <v>3200</v>
      </c>
      <c r="AE68" s="86">
        <f>4800+3200</f>
        <v>8000</v>
      </c>
      <c r="AF68" s="86">
        <f>+AC68-AD68-AE68</f>
        <v>15472</v>
      </c>
    </row>
    <row r="69" spans="27:38" ht="15.75" thickBot="1" x14ac:dyDescent="0.3">
      <c r="AA69" s="94" t="s">
        <v>312</v>
      </c>
      <c r="AB69" s="95">
        <v>2019</v>
      </c>
      <c r="AC69" s="86">
        <v>13174</v>
      </c>
      <c r="AD69" s="86">
        <v>1581</v>
      </c>
      <c r="AE69" s="86">
        <f>1020+1581+4</f>
        <v>2605</v>
      </c>
      <c r="AF69" s="86">
        <f t="shared" ref="AF69:AF71" si="7">+AC69-AD69-AE69</f>
        <v>8988</v>
      </c>
    </row>
    <row r="70" spans="27:38" ht="15.75" thickBot="1" x14ac:dyDescent="0.3">
      <c r="AA70" s="94" t="s">
        <v>313</v>
      </c>
      <c r="AB70" s="95">
        <v>2020</v>
      </c>
      <c r="AC70" s="86">
        <v>704</v>
      </c>
      <c r="AD70" s="86">
        <f>+AC70*12%</f>
        <v>84.47999999999999</v>
      </c>
      <c r="AE70" s="86">
        <v>42</v>
      </c>
      <c r="AF70" s="86">
        <f t="shared" si="7"/>
        <v>577.52</v>
      </c>
    </row>
    <row r="71" spans="27:38" ht="15.75" thickBot="1" x14ac:dyDescent="0.3">
      <c r="AA71" s="94" t="s">
        <v>314</v>
      </c>
      <c r="AB71" s="95">
        <v>2021</v>
      </c>
      <c r="AC71" s="86">
        <v>0</v>
      </c>
      <c r="AD71" s="86">
        <v>0</v>
      </c>
      <c r="AE71" s="86">
        <v>0</v>
      </c>
      <c r="AF71" s="86">
        <f t="shared" si="7"/>
        <v>0</v>
      </c>
    </row>
    <row r="72" spans="27:38" ht="15.75" thickBot="1" x14ac:dyDescent="0.3">
      <c r="AA72" s="19" t="s">
        <v>16</v>
      </c>
      <c r="AB72" s="105"/>
      <c r="AC72" s="99">
        <f>SUM(AC63:AC71)</f>
        <v>192673</v>
      </c>
      <c r="AD72" s="99">
        <f t="shared" ref="AD72:AF72" si="8">SUM(AD63:AD71)</f>
        <v>5612.48</v>
      </c>
      <c r="AE72" s="99">
        <f t="shared" si="8"/>
        <v>162023</v>
      </c>
      <c r="AF72" s="99">
        <f t="shared" si="8"/>
        <v>25037.52</v>
      </c>
    </row>
    <row r="73" spans="27:38" ht="15.75" thickBot="1" x14ac:dyDescent="0.3"/>
    <row r="74" spans="27:38" ht="39" thickBot="1" x14ac:dyDescent="0.3">
      <c r="AG74" s="108" t="s">
        <v>315</v>
      </c>
      <c r="AH74" s="106" t="s">
        <v>276</v>
      </c>
      <c r="AI74" s="107" t="s">
        <v>277</v>
      </c>
      <c r="AJ74" s="107" t="s">
        <v>280</v>
      </c>
      <c r="AK74" s="107" t="s">
        <v>281</v>
      </c>
      <c r="AL74" s="107" t="s">
        <v>278</v>
      </c>
    </row>
    <row r="75" spans="27:38" ht="15.75" thickBot="1" x14ac:dyDescent="0.3">
      <c r="AG75" s="94" t="s">
        <v>316</v>
      </c>
      <c r="AH75" s="95">
        <v>2009</v>
      </c>
      <c r="AI75" s="109">
        <v>109519</v>
      </c>
      <c r="AJ75" s="109">
        <v>0</v>
      </c>
      <c r="AK75" s="109">
        <v>109519</v>
      </c>
      <c r="AL75" s="109">
        <v>0</v>
      </c>
    </row>
    <row r="76" spans="27:38" ht="15.75" thickBot="1" x14ac:dyDescent="0.3">
      <c r="AG76" s="94" t="s">
        <v>317</v>
      </c>
      <c r="AH76" s="95">
        <v>2011</v>
      </c>
      <c r="AI76" s="109">
        <v>4399</v>
      </c>
      <c r="AJ76" s="109">
        <v>0</v>
      </c>
      <c r="AK76" s="109">
        <v>4399</v>
      </c>
      <c r="AL76" s="109">
        <v>0</v>
      </c>
    </row>
    <row r="77" spans="27:38" ht="15.75" thickBot="1" x14ac:dyDescent="0.3">
      <c r="AG77" s="94" t="s">
        <v>318</v>
      </c>
      <c r="AH77" s="95">
        <v>2012</v>
      </c>
      <c r="AI77" s="109">
        <v>5615</v>
      </c>
      <c r="AJ77" s="109">
        <v>0</v>
      </c>
      <c r="AK77" s="109">
        <v>5615</v>
      </c>
      <c r="AL77" s="109">
        <v>0</v>
      </c>
    </row>
    <row r="78" spans="27:38" ht="15.75" thickBot="1" x14ac:dyDescent="0.3">
      <c r="AG78" s="94" t="s">
        <v>319</v>
      </c>
      <c r="AH78" s="95">
        <v>2013</v>
      </c>
      <c r="AI78" s="109">
        <v>3380</v>
      </c>
      <c r="AJ78" s="109">
        <v>0</v>
      </c>
      <c r="AK78" s="109">
        <v>3380</v>
      </c>
      <c r="AL78" s="109">
        <v>0</v>
      </c>
    </row>
    <row r="79" spans="27:38" ht="15.75" thickBot="1" x14ac:dyDescent="0.3">
      <c r="AG79" s="94" t="s">
        <v>320</v>
      </c>
      <c r="AH79" s="95">
        <v>2013</v>
      </c>
      <c r="AI79" s="109">
        <v>6825</v>
      </c>
      <c r="AJ79" s="109">
        <v>0</v>
      </c>
      <c r="AK79" s="109">
        <v>6825</v>
      </c>
      <c r="AL79" s="109">
        <v>0</v>
      </c>
    </row>
    <row r="80" spans="27:38" ht="15.75" thickBot="1" x14ac:dyDescent="0.3">
      <c r="AG80" s="94" t="s">
        <v>321</v>
      </c>
      <c r="AH80" s="95">
        <v>2014</v>
      </c>
      <c r="AI80" s="109">
        <v>2792</v>
      </c>
      <c r="AJ80" s="109">
        <v>0</v>
      </c>
      <c r="AK80" s="109">
        <v>2792</v>
      </c>
      <c r="AL80" s="109">
        <v>0</v>
      </c>
    </row>
    <row r="81" spans="33:38" ht="15.75" thickBot="1" x14ac:dyDescent="0.3">
      <c r="AG81" s="94" t="s">
        <v>322</v>
      </c>
      <c r="AH81" s="95">
        <v>2016</v>
      </c>
      <c r="AI81" s="109">
        <v>10783</v>
      </c>
      <c r="AJ81" s="109">
        <v>2086</v>
      </c>
      <c r="AK81" s="109">
        <f>+AI81-AJ81</f>
        <v>8697</v>
      </c>
      <c r="AL81" s="109">
        <f>+AI81-AJ81-AK81</f>
        <v>0</v>
      </c>
    </row>
    <row r="82" spans="33:38" ht="15.75" thickBot="1" x14ac:dyDescent="0.3">
      <c r="AG82" s="94" t="s">
        <v>323</v>
      </c>
      <c r="AH82" s="95">
        <v>2017</v>
      </c>
      <c r="AI82" s="109">
        <v>16052</v>
      </c>
      <c r="AJ82" s="109">
        <v>3211</v>
      </c>
      <c r="AK82" s="109">
        <f>8022+3211</f>
        <v>11233</v>
      </c>
      <c r="AL82" s="109">
        <f t="shared" ref="AL82:AL86" si="9">+AI82-AJ82-AK82</f>
        <v>1608</v>
      </c>
    </row>
    <row r="83" spans="33:38" ht="15.75" thickBot="1" x14ac:dyDescent="0.3">
      <c r="AG83" s="94" t="s">
        <v>324</v>
      </c>
      <c r="AH83" s="95">
        <v>2018</v>
      </c>
      <c r="AI83" s="109">
        <v>10150</v>
      </c>
      <c r="AJ83" s="109">
        <v>2030</v>
      </c>
      <c r="AK83" s="109">
        <f>3046+2030</f>
        <v>5076</v>
      </c>
      <c r="AL83" s="109">
        <f t="shared" si="9"/>
        <v>3044</v>
      </c>
    </row>
    <row r="84" spans="33:38" ht="15.75" thickBot="1" x14ac:dyDescent="0.3">
      <c r="AG84" s="94" t="s">
        <v>325</v>
      </c>
      <c r="AH84" s="95">
        <v>2019</v>
      </c>
      <c r="AI84" s="109">
        <v>7427</v>
      </c>
      <c r="AJ84" s="109">
        <v>1485</v>
      </c>
      <c r="AK84" s="109">
        <f>744+1485</f>
        <v>2229</v>
      </c>
      <c r="AL84" s="109">
        <f t="shared" si="9"/>
        <v>3713</v>
      </c>
    </row>
    <row r="85" spans="33:38" ht="15.75" thickBot="1" x14ac:dyDescent="0.3">
      <c r="AG85" s="94" t="s">
        <v>326</v>
      </c>
      <c r="AH85" s="95">
        <v>2020</v>
      </c>
      <c r="AI85" s="109">
        <v>13436</v>
      </c>
      <c r="AJ85" s="109">
        <f>+AI85*20%</f>
        <v>2687.2000000000003</v>
      </c>
      <c r="AK85" s="109">
        <v>1344</v>
      </c>
      <c r="AL85" s="109">
        <f t="shared" si="9"/>
        <v>9404.7999999999993</v>
      </c>
    </row>
    <row r="86" spans="33:38" ht="15.75" thickBot="1" x14ac:dyDescent="0.3">
      <c r="AG86" s="94" t="s">
        <v>327</v>
      </c>
      <c r="AH86" s="95">
        <v>2021</v>
      </c>
      <c r="AI86" s="109">
        <v>19096</v>
      </c>
      <c r="AJ86" s="109">
        <f>+AI86*10%</f>
        <v>1909.6000000000001</v>
      </c>
      <c r="AK86" s="109">
        <v>0</v>
      </c>
      <c r="AL86" s="109">
        <f t="shared" si="9"/>
        <v>17186.400000000001</v>
      </c>
    </row>
    <row r="87" spans="33:38" ht="15.75" thickBot="1" x14ac:dyDescent="0.3">
      <c r="AG87" s="17" t="s">
        <v>16</v>
      </c>
      <c r="AH87" s="105"/>
      <c r="AI87" s="99">
        <f>SUM(AI75:AI86)</f>
        <v>209474</v>
      </c>
      <c r="AJ87" s="99">
        <f t="shared" ref="AJ87:AL87" si="10">SUM(AJ75:AJ86)</f>
        <v>13408.800000000001</v>
      </c>
      <c r="AK87" s="99">
        <f t="shared" si="10"/>
        <v>161109</v>
      </c>
      <c r="AL87" s="99">
        <f t="shared" si="10"/>
        <v>34956.199999999997</v>
      </c>
    </row>
  </sheetData>
  <mergeCells count="1">
    <mergeCell ref="G16:H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topLeftCell="D157" workbookViewId="0">
      <selection activeCell="K185" sqref="K185"/>
    </sheetView>
  </sheetViews>
  <sheetFormatPr defaultRowHeight="15" x14ac:dyDescent="0.25"/>
  <cols>
    <col min="1" max="1" width="54.5703125" bestFit="1" customWidth="1"/>
    <col min="2" max="3" width="7.5703125" bestFit="1" customWidth="1"/>
    <col min="4" max="4" width="8.7109375" bestFit="1" customWidth="1"/>
    <col min="5" max="5" width="8.85546875" bestFit="1" customWidth="1"/>
    <col min="6" max="6" width="35" bestFit="1" customWidth="1"/>
    <col min="7" max="8" width="7.5703125" bestFit="1" customWidth="1"/>
    <col min="9" max="9" width="7.28515625" bestFit="1" customWidth="1"/>
    <col min="10" max="10" width="7.85546875" bestFit="1" customWidth="1"/>
    <col min="11" max="11" width="37" bestFit="1" customWidth="1"/>
    <col min="16" max="16" width="34" bestFit="1" customWidth="1"/>
    <col min="17" max="17" width="45.5703125" bestFit="1" customWidth="1"/>
    <col min="18" max="19" width="10.140625" bestFit="1" customWidth="1"/>
  </cols>
  <sheetData>
    <row r="1" spans="1:10" ht="15.75" thickBot="1" x14ac:dyDescent="0.3"/>
    <row r="2" spans="1:10" ht="15.75" thickBot="1" x14ac:dyDescent="0.3">
      <c r="A2" s="168" t="s">
        <v>141</v>
      </c>
      <c r="B2" s="161">
        <v>2021</v>
      </c>
      <c r="C2" s="161">
        <v>2020</v>
      </c>
      <c r="D2" s="163" t="s">
        <v>445</v>
      </c>
      <c r="E2" s="164"/>
    </row>
    <row r="3" spans="1:10" ht="15.75" thickBot="1" x14ac:dyDescent="0.3">
      <c r="A3" s="169"/>
      <c r="B3" s="162"/>
      <c r="C3" s="162"/>
      <c r="D3" s="3" t="s">
        <v>2</v>
      </c>
      <c r="E3" s="3" t="s">
        <v>3</v>
      </c>
    </row>
    <row r="4" spans="1:10" ht="15.75" thickBot="1" x14ac:dyDescent="0.3">
      <c r="A4" s="4" t="s">
        <v>145</v>
      </c>
      <c r="B4" s="6">
        <v>60000</v>
      </c>
      <c r="C4" s="6">
        <v>54166.68</v>
      </c>
      <c r="D4" s="33">
        <f t="shared" ref="D4:D11" si="0">+B4-C4</f>
        <v>5833.32</v>
      </c>
      <c r="E4" s="25">
        <f t="shared" ref="E4:E11" si="1">((D4*100)/C4)/100</f>
        <v>0.10769203502965291</v>
      </c>
    </row>
    <row r="5" spans="1:10" ht="15.75" thickBot="1" x14ac:dyDescent="0.3">
      <c r="A5" s="4" t="s">
        <v>146</v>
      </c>
      <c r="B5" s="6">
        <v>17476.98</v>
      </c>
      <c r="C5" s="6">
        <v>16023.02</v>
      </c>
      <c r="D5" s="33">
        <f t="shared" si="0"/>
        <v>1453.9599999999991</v>
      </c>
      <c r="E5" s="25">
        <f t="shared" si="1"/>
        <v>9.0741945026592941E-2</v>
      </c>
    </row>
    <row r="6" spans="1:10" ht="15.75" thickBot="1" x14ac:dyDescent="0.3">
      <c r="A6" s="4" t="s">
        <v>147</v>
      </c>
      <c r="B6" s="6">
        <v>12000</v>
      </c>
      <c r="C6" s="6">
        <v>12000</v>
      </c>
      <c r="D6" s="33">
        <f t="shared" si="0"/>
        <v>0</v>
      </c>
      <c r="E6" s="25">
        <f t="shared" si="1"/>
        <v>0</v>
      </c>
    </row>
    <row r="7" spans="1:10" ht="15.75" thickBot="1" x14ac:dyDescent="0.3">
      <c r="A7" s="4" t="s">
        <v>148</v>
      </c>
      <c r="B7" s="6">
        <v>60400</v>
      </c>
      <c r="C7" s="6">
        <v>54166.68</v>
      </c>
      <c r="D7" s="33">
        <f t="shared" si="0"/>
        <v>6233.32</v>
      </c>
      <c r="E7" s="25">
        <f t="shared" si="1"/>
        <v>0.11507664859651726</v>
      </c>
    </row>
    <row r="8" spans="1:10" ht="15.75" thickBot="1" x14ac:dyDescent="0.3">
      <c r="A8" s="4" t="s">
        <v>149</v>
      </c>
      <c r="B8" s="6">
        <v>14715.02</v>
      </c>
      <c r="C8" s="6">
        <v>13166</v>
      </c>
      <c r="D8" s="33">
        <f t="shared" si="0"/>
        <v>1549.0200000000004</v>
      </c>
      <c r="E8" s="25">
        <f t="shared" si="1"/>
        <v>0.11765304572383416</v>
      </c>
    </row>
    <row r="9" spans="1:10" ht="15.75" thickBot="1" x14ac:dyDescent="0.3">
      <c r="A9" s="4" t="s">
        <v>150</v>
      </c>
      <c r="B9" s="6">
        <v>27899.96</v>
      </c>
      <c r="C9" s="6">
        <v>36699.96</v>
      </c>
      <c r="D9" s="27">
        <f t="shared" si="0"/>
        <v>-8800</v>
      </c>
      <c r="E9" s="13">
        <f t="shared" si="1"/>
        <v>-0.23978227769185578</v>
      </c>
    </row>
    <row r="10" spans="1:10" ht="15.75" thickBot="1" x14ac:dyDescent="0.3">
      <c r="A10" s="4" t="s">
        <v>151</v>
      </c>
      <c r="B10" s="6">
        <v>6971.63</v>
      </c>
      <c r="C10" s="6">
        <v>9005.5499999999993</v>
      </c>
      <c r="D10" s="27">
        <f t="shared" si="0"/>
        <v>-2033.9199999999992</v>
      </c>
      <c r="E10" s="13">
        <f t="shared" si="1"/>
        <v>-0.2258518358123601</v>
      </c>
    </row>
    <row r="11" spans="1:10" ht="15.75" thickBot="1" x14ac:dyDescent="0.3">
      <c r="A11" s="37" t="s">
        <v>16</v>
      </c>
      <c r="B11" s="38">
        <f>SUM(B4:B10)</f>
        <v>199463.58999999997</v>
      </c>
      <c r="C11" s="38">
        <f>SUM(C4:C10)</f>
        <v>195227.88999999998</v>
      </c>
      <c r="D11" s="26">
        <f t="shared" si="0"/>
        <v>4235.6999999999825</v>
      </c>
      <c r="E11" s="14">
        <f t="shared" si="1"/>
        <v>2.1696182855840847E-2</v>
      </c>
    </row>
    <row r="12" spans="1:10" ht="15.75" thickBot="1" x14ac:dyDescent="0.3">
      <c r="F12" s="168" t="s">
        <v>152</v>
      </c>
      <c r="G12" s="161">
        <v>2021</v>
      </c>
      <c r="H12" s="161">
        <v>2020</v>
      </c>
      <c r="I12" s="163" t="s">
        <v>445</v>
      </c>
      <c r="J12" s="164"/>
    </row>
    <row r="13" spans="1:10" ht="15.75" thickBot="1" x14ac:dyDescent="0.3">
      <c r="F13" s="169"/>
      <c r="G13" s="162"/>
      <c r="H13" s="162"/>
      <c r="I13" s="3" t="s">
        <v>2</v>
      </c>
      <c r="J13" s="3" t="s">
        <v>3</v>
      </c>
    </row>
    <row r="14" spans="1:10" ht="15.75" thickBot="1" x14ac:dyDescent="0.3">
      <c r="F14" s="4" t="s">
        <v>153</v>
      </c>
      <c r="G14" s="41">
        <v>149576</v>
      </c>
      <c r="H14" s="41">
        <v>60747.68</v>
      </c>
      <c r="I14" s="27">
        <f t="shared" ref="I14:I19" si="2">+G14-H14</f>
        <v>88828.32</v>
      </c>
      <c r="J14" s="13">
        <f t="shared" ref="J14:J19" si="3">((I14*100)/H14)/100</f>
        <v>1.4622504102214273</v>
      </c>
    </row>
    <row r="15" spans="1:10" ht="15.75" thickBot="1" x14ac:dyDescent="0.3">
      <c r="F15" s="4" t="s">
        <v>154</v>
      </c>
      <c r="G15" s="41">
        <v>65517.53</v>
      </c>
      <c r="H15" s="41">
        <v>23409.360000000001</v>
      </c>
      <c r="I15" s="27">
        <f t="shared" si="2"/>
        <v>42108.17</v>
      </c>
      <c r="J15" s="13">
        <f t="shared" si="3"/>
        <v>1.7987749344706561</v>
      </c>
    </row>
    <row r="16" spans="1:10" ht="15.75" thickBot="1" x14ac:dyDescent="0.3">
      <c r="F16" s="4" t="s">
        <v>155</v>
      </c>
      <c r="G16" s="41">
        <v>9779.7099999999991</v>
      </c>
      <c r="H16" s="41">
        <v>8654.89</v>
      </c>
      <c r="I16" s="27">
        <f t="shared" si="2"/>
        <v>1124.8199999999997</v>
      </c>
      <c r="J16" s="13">
        <f t="shared" si="3"/>
        <v>0.12996352351098625</v>
      </c>
    </row>
    <row r="17" spans="6:18" ht="15.75" thickBot="1" x14ac:dyDescent="0.3">
      <c r="F17" s="4" t="s">
        <v>156</v>
      </c>
      <c r="G17" s="41">
        <v>24958.98</v>
      </c>
      <c r="H17" s="41">
        <v>31018.7</v>
      </c>
      <c r="I17" s="27">
        <f t="shared" si="2"/>
        <v>-6059.7200000000012</v>
      </c>
      <c r="J17" s="13">
        <f t="shared" si="3"/>
        <v>-0.19535699432922723</v>
      </c>
    </row>
    <row r="18" spans="6:18" ht="15.75" thickBot="1" x14ac:dyDescent="0.3">
      <c r="F18" s="35" t="s">
        <v>157</v>
      </c>
      <c r="G18" s="52">
        <f>+R159</f>
        <v>203564.61</v>
      </c>
      <c r="H18" s="52">
        <v>97618</v>
      </c>
      <c r="I18" s="27">
        <f t="shared" si="2"/>
        <v>105946.60999999999</v>
      </c>
      <c r="J18" s="13">
        <f t="shared" si="3"/>
        <v>1.0853183839046077</v>
      </c>
    </row>
    <row r="19" spans="6:18" ht="15.75" thickBot="1" x14ac:dyDescent="0.3">
      <c r="F19" s="37" t="s">
        <v>16</v>
      </c>
      <c r="G19" s="53">
        <f>SUM(G14:G18)</f>
        <v>453396.82999999996</v>
      </c>
      <c r="H19" s="53">
        <f>SUM(H14:H18)</f>
        <v>221448.63</v>
      </c>
      <c r="I19" s="26">
        <f t="shared" si="2"/>
        <v>231948.19999999995</v>
      </c>
      <c r="J19" s="14">
        <f t="shared" si="3"/>
        <v>1.0474131178865271</v>
      </c>
    </row>
    <row r="21" spans="6:18" ht="15.75" thickBot="1" x14ac:dyDescent="0.3"/>
    <row r="22" spans="6:18" ht="15.75" thickBot="1" x14ac:dyDescent="0.3">
      <c r="K22" s="168" t="s">
        <v>158</v>
      </c>
      <c r="L22" s="161">
        <v>2021</v>
      </c>
      <c r="M22" s="161">
        <v>2020</v>
      </c>
      <c r="N22" s="163" t="s">
        <v>445</v>
      </c>
      <c r="O22" s="164"/>
    </row>
    <row r="23" spans="6:18" ht="15.75" thickBot="1" x14ac:dyDescent="0.3">
      <c r="K23" s="169"/>
      <c r="L23" s="162"/>
      <c r="M23" s="162"/>
      <c r="N23" s="3" t="s">
        <v>2</v>
      </c>
      <c r="O23" s="3" t="s">
        <v>3</v>
      </c>
    </row>
    <row r="24" spans="6:18" ht="15.75" thickBot="1" x14ac:dyDescent="0.3">
      <c r="K24" s="4" t="s">
        <v>159</v>
      </c>
      <c r="L24" s="6">
        <f>25847.68+630.4</f>
        <v>26478.080000000002</v>
      </c>
      <c r="M24" s="6">
        <v>25447.040000000001</v>
      </c>
      <c r="N24" s="33">
        <f t="shared" ref="N24:N29" si="4">+L24-M24</f>
        <v>1031.0400000000009</v>
      </c>
      <c r="O24" s="25">
        <f t="shared" ref="O24:O29" si="5">((N24*100)/M24)/100</f>
        <v>4.0517089610422302E-2</v>
      </c>
    </row>
    <row r="25" spans="6:18" ht="15.75" thickBot="1" x14ac:dyDescent="0.3">
      <c r="K25" s="4" t="s">
        <v>160</v>
      </c>
      <c r="L25" s="6">
        <v>3408.8</v>
      </c>
      <c r="M25" s="6">
        <v>2493.79</v>
      </c>
      <c r="N25" s="27">
        <f t="shared" si="4"/>
        <v>915.01000000000022</v>
      </c>
      <c r="O25" s="13">
        <f t="shared" si="5"/>
        <v>0.36691541789805887</v>
      </c>
    </row>
    <row r="26" spans="6:18" ht="15.75" thickBot="1" x14ac:dyDescent="0.3">
      <c r="K26" s="4" t="s">
        <v>161</v>
      </c>
      <c r="L26" s="6">
        <v>132000</v>
      </c>
      <c r="M26" s="6">
        <v>125666.66</v>
      </c>
      <c r="N26" s="33">
        <f t="shared" si="4"/>
        <v>6333.3399999999965</v>
      </c>
      <c r="O26" s="25">
        <f t="shared" si="5"/>
        <v>5.0397933708113164E-2</v>
      </c>
    </row>
    <row r="27" spans="6:18" ht="15.75" thickBot="1" x14ac:dyDescent="0.3">
      <c r="K27" s="4" t="s">
        <v>162</v>
      </c>
      <c r="L27" s="6">
        <v>29110.6</v>
      </c>
      <c r="M27" s="6">
        <v>30189.51</v>
      </c>
      <c r="N27" s="33">
        <f t="shared" si="4"/>
        <v>-1078.9099999999999</v>
      </c>
      <c r="O27" s="25">
        <f t="shared" si="5"/>
        <v>-3.5737910287381276E-2</v>
      </c>
    </row>
    <row r="28" spans="6:18" ht="15.75" thickBot="1" x14ac:dyDescent="0.3">
      <c r="K28" s="35" t="s">
        <v>163</v>
      </c>
      <c r="L28" s="36">
        <v>4546.0600000000004</v>
      </c>
      <c r="M28" s="36">
        <v>1467.06</v>
      </c>
      <c r="N28" s="27">
        <f t="shared" si="4"/>
        <v>3079.0000000000005</v>
      </c>
      <c r="O28" s="13">
        <f t="shared" si="5"/>
        <v>2.0987553337968459</v>
      </c>
    </row>
    <row r="29" spans="6:18" ht="15.75" thickBot="1" x14ac:dyDescent="0.3">
      <c r="K29" s="37" t="s">
        <v>16</v>
      </c>
      <c r="L29" s="38">
        <f>SUM(L24:L28)</f>
        <v>195543.54</v>
      </c>
      <c r="M29" s="38">
        <f>SUM(M24:M28)</f>
        <v>185264.06</v>
      </c>
      <c r="N29" s="54">
        <f t="shared" si="4"/>
        <v>10279.48000000001</v>
      </c>
      <c r="O29" s="28">
        <f t="shared" si="5"/>
        <v>5.5485559368611541E-2</v>
      </c>
    </row>
    <row r="31" spans="6:18" x14ac:dyDescent="0.25">
      <c r="P31" t="s">
        <v>480</v>
      </c>
      <c r="R31" s="139">
        <v>7540</v>
      </c>
    </row>
    <row r="32" spans="6:18" x14ac:dyDescent="0.25">
      <c r="P32" t="s">
        <v>517</v>
      </c>
      <c r="R32" s="139">
        <v>2300</v>
      </c>
    </row>
    <row r="33" spans="16:18" x14ac:dyDescent="0.25">
      <c r="P33" t="s">
        <v>467</v>
      </c>
      <c r="Q33" t="s">
        <v>468</v>
      </c>
      <c r="R33" s="139">
        <v>1040</v>
      </c>
    </row>
    <row r="34" spans="16:18" x14ac:dyDescent="0.25">
      <c r="P34" t="s">
        <v>469</v>
      </c>
      <c r="Q34" t="s">
        <v>470</v>
      </c>
      <c r="R34" s="139">
        <v>1300</v>
      </c>
    </row>
    <row r="35" spans="16:18" x14ac:dyDescent="0.25">
      <c r="P35" t="s">
        <v>469</v>
      </c>
      <c r="Q35" t="s">
        <v>471</v>
      </c>
      <c r="R35" s="139">
        <v>6200</v>
      </c>
    </row>
    <row r="36" spans="16:18" x14ac:dyDescent="0.25">
      <c r="P36" t="s">
        <v>472</v>
      </c>
      <c r="Q36" t="s">
        <v>473</v>
      </c>
      <c r="R36" s="139">
        <v>6800</v>
      </c>
    </row>
    <row r="37" spans="16:18" x14ac:dyDescent="0.25">
      <c r="P37" t="s">
        <v>474</v>
      </c>
      <c r="Q37" t="s">
        <v>475</v>
      </c>
      <c r="R37" s="111">
        <v>20696</v>
      </c>
    </row>
    <row r="38" spans="16:18" x14ac:dyDescent="0.25">
      <c r="P38" t="s">
        <v>476</v>
      </c>
      <c r="Q38" t="s">
        <v>477</v>
      </c>
      <c r="R38" s="139">
        <v>1000</v>
      </c>
    </row>
    <row r="39" spans="16:18" x14ac:dyDescent="0.25">
      <c r="P39" t="s">
        <v>472</v>
      </c>
      <c r="Q39" t="s">
        <v>478</v>
      </c>
      <c r="R39" s="139">
        <v>6000</v>
      </c>
    </row>
    <row r="40" spans="16:18" x14ac:dyDescent="0.25">
      <c r="P40" t="s">
        <v>472</v>
      </c>
      <c r="Q40" t="s">
        <v>479</v>
      </c>
      <c r="R40" s="139">
        <v>5000</v>
      </c>
    </row>
    <row r="41" spans="16:18" x14ac:dyDescent="0.25">
      <c r="P41" t="s">
        <v>480</v>
      </c>
      <c r="Q41" t="s">
        <v>481</v>
      </c>
      <c r="R41" s="139">
        <v>7540</v>
      </c>
    </row>
    <row r="42" spans="16:18" x14ac:dyDescent="0.25">
      <c r="P42" t="s">
        <v>472</v>
      </c>
      <c r="Q42" t="s">
        <v>482</v>
      </c>
      <c r="R42" s="139">
        <v>1800</v>
      </c>
    </row>
    <row r="43" spans="16:18" x14ac:dyDescent="0.25">
      <c r="P43" t="s">
        <v>472</v>
      </c>
      <c r="Q43" t="s">
        <v>483</v>
      </c>
      <c r="R43" s="139">
        <v>3600</v>
      </c>
    </row>
    <row r="44" spans="16:18" x14ac:dyDescent="0.25">
      <c r="P44" t="s">
        <v>484</v>
      </c>
      <c r="Q44" t="s">
        <v>485</v>
      </c>
      <c r="R44" s="139">
        <v>1000</v>
      </c>
    </row>
    <row r="45" spans="16:18" x14ac:dyDescent="0.25">
      <c r="P45" t="s">
        <v>486</v>
      </c>
      <c r="Q45" t="s">
        <v>487</v>
      </c>
      <c r="R45" s="140">
        <v>520</v>
      </c>
    </row>
    <row r="46" spans="16:18" x14ac:dyDescent="0.25">
      <c r="P46" t="s">
        <v>488</v>
      </c>
      <c r="Q46" t="s">
        <v>489</v>
      </c>
      <c r="R46" s="139">
        <v>21000</v>
      </c>
    </row>
    <row r="47" spans="16:18" x14ac:dyDescent="0.25">
      <c r="R47" s="139">
        <v>2500</v>
      </c>
    </row>
    <row r="48" spans="16:18" x14ac:dyDescent="0.25">
      <c r="P48" t="s">
        <v>490</v>
      </c>
      <c r="Q48" t="s">
        <v>491</v>
      </c>
      <c r="R48" s="139">
        <v>1500</v>
      </c>
    </row>
    <row r="49" spans="16:19" x14ac:dyDescent="0.25">
      <c r="P49" t="s">
        <v>472</v>
      </c>
      <c r="Q49" t="s">
        <v>492</v>
      </c>
      <c r="R49" s="139">
        <v>3000</v>
      </c>
    </row>
    <row r="50" spans="16:19" x14ac:dyDescent="0.25">
      <c r="P50" t="s">
        <v>493</v>
      </c>
      <c r="Q50" t="s">
        <v>494</v>
      </c>
      <c r="R50" s="139">
        <v>1300</v>
      </c>
    </row>
    <row r="51" spans="16:19" x14ac:dyDescent="0.25">
      <c r="P51" t="s">
        <v>488</v>
      </c>
      <c r="Q51" t="s">
        <v>489</v>
      </c>
      <c r="R51" s="139">
        <v>9000</v>
      </c>
    </row>
    <row r="52" spans="16:19" x14ac:dyDescent="0.25">
      <c r="P52" t="s">
        <v>495</v>
      </c>
      <c r="Q52" t="s">
        <v>496</v>
      </c>
      <c r="R52" s="139">
        <v>7540</v>
      </c>
    </row>
    <row r="53" spans="16:19" x14ac:dyDescent="0.25">
      <c r="P53" t="s">
        <v>497</v>
      </c>
      <c r="Q53" t="s">
        <v>498</v>
      </c>
      <c r="R53" s="139">
        <v>4812.4799999999996</v>
      </c>
    </row>
    <row r="54" spans="16:19" x14ac:dyDescent="0.25">
      <c r="P54" t="s">
        <v>499</v>
      </c>
      <c r="Q54" t="s">
        <v>475</v>
      </c>
      <c r="R54" s="139">
        <v>20696</v>
      </c>
    </row>
    <row r="55" spans="16:19" x14ac:dyDescent="0.25">
      <c r="P55" t="s">
        <v>500</v>
      </c>
      <c r="Q55" t="s">
        <v>501</v>
      </c>
      <c r="R55" s="139">
        <v>4812.4799999999996</v>
      </c>
    </row>
    <row r="56" spans="16:19" x14ac:dyDescent="0.25">
      <c r="P56" t="s">
        <v>502</v>
      </c>
      <c r="Q56" t="s">
        <v>503</v>
      </c>
      <c r="R56" s="139">
        <v>1500</v>
      </c>
    </row>
    <row r="57" spans="16:19" x14ac:dyDescent="0.25">
      <c r="P57" t="s">
        <v>480</v>
      </c>
      <c r="R57" s="139">
        <v>7800</v>
      </c>
    </row>
    <row r="58" spans="16:19" x14ac:dyDescent="0.25">
      <c r="P58" t="s">
        <v>476</v>
      </c>
      <c r="Q58" t="s">
        <v>504</v>
      </c>
      <c r="R58" s="139">
        <v>10055.799999999999</v>
      </c>
    </row>
    <row r="59" spans="16:19" x14ac:dyDescent="0.25">
      <c r="P59" t="s">
        <v>518</v>
      </c>
      <c r="R59" s="139">
        <v>1800</v>
      </c>
    </row>
    <row r="60" spans="16:19" x14ac:dyDescent="0.25">
      <c r="P60" t="s">
        <v>518</v>
      </c>
      <c r="R60" s="139">
        <v>1360</v>
      </c>
    </row>
    <row r="61" spans="16:19" x14ac:dyDescent="0.25">
      <c r="R61" s="139">
        <v>2500</v>
      </c>
    </row>
    <row r="62" spans="16:19" x14ac:dyDescent="0.25">
      <c r="P62" t="s">
        <v>518</v>
      </c>
      <c r="R62" s="139">
        <v>3400</v>
      </c>
    </row>
    <row r="63" spans="16:19" x14ac:dyDescent="0.25">
      <c r="R63" s="111">
        <f>SUM(R31:R62)</f>
        <v>176912.75999999998</v>
      </c>
    </row>
    <row r="64" spans="16:19" x14ac:dyDescent="0.25">
      <c r="Q64" t="s">
        <v>505</v>
      </c>
      <c r="R64" s="5">
        <f>+R33+R50</f>
        <v>2340</v>
      </c>
      <c r="S64" t="s">
        <v>519</v>
      </c>
    </row>
    <row r="65" spans="16:19" x14ac:dyDescent="0.25">
      <c r="Q65" t="s">
        <v>506</v>
      </c>
      <c r="R65" s="5">
        <f>+R32+R34+R35+R45+R56</f>
        <v>11820</v>
      </c>
      <c r="S65" t="s">
        <v>520</v>
      </c>
    </row>
    <row r="66" spans="16:19" x14ac:dyDescent="0.25">
      <c r="Q66" t="s">
        <v>507</v>
      </c>
      <c r="R66" s="5">
        <f>+R36+R39+R40+R42+R43+R49</f>
        <v>26200</v>
      </c>
      <c r="S66" t="s">
        <v>521</v>
      </c>
    </row>
    <row r="67" spans="16:19" x14ac:dyDescent="0.25">
      <c r="Q67" t="s">
        <v>508</v>
      </c>
      <c r="R67" s="5">
        <f>+R38+R58</f>
        <v>11055.8</v>
      </c>
      <c r="S67" t="s">
        <v>522</v>
      </c>
    </row>
    <row r="68" spans="16:19" x14ac:dyDescent="0.25">
      <c r="Q68" t="s">
        <v>509</v>
      </c>
      <c r="R68" s="5">
        <f>+R46+R51</f>
        <v>30000</v>
      </c>
      <c r="S68" t="s">
        <v>523</v>
      </c>
    </row>
    <row r="69" spans="16:19" x14ac:dyDescent="0.25">
      <c r="Q69" t="s">
        <v>510</v>
      </c>
      <c r="R69" s="5">
        <f>+R44</f>
        <v>1000</v>
      </c>
      <c r="S69">
        <v>51</v>
      </c>
    </row>
    <row r="70" spans="16:19" x14ac:dyDescent="0.25">
      <c r="Q70" t="s">
        <v>511</v>
      </c>
      <c r="R70" s="5">
        <f>+R55+R53</f>
        <v>9624.9599999999991</v>
      </c>
      <c r="S70">
        <v>62</v>
      </c>
    </row>
    <row r="71" spans="16:19" x14ac:dyDescent="0.25">
      <c r="Q71" t="s">
        <v>512</v>
      </c>
      <c r="R71" s="5">
        <f>+R59+R60+R62</f>
        <v>6560</v>
      </c>
      <c r="S71" t="s">
        <v>524</v>
      </c>
    </row>
    <row r="72" spans="16:19" ht="30" x14ac:dyDescent="0.25">
      <c r="P72" s="138"/>
      <c r="Q72" s="138" t="s">
        <v>513</v>
      </c>
      <c r="R72" s="5">
        <f>+R47+R61</f>
        <v>5000</v>
      </c>
      <c r="S72" t="s">
        <v>525</v>
      </c>
    </row>
    <row r="73" spans="16:19" x14ac:dyDescent="0.25">
      <c r="Q73" t="s">
        <v>514</v>
      </c>
      <c r="R73" s="5">
        <f>+R31+R41+R57+R52</f>
        <v>30420</v>
      </c>
      <c r="S73" t="s">
        <v>526</v>
      </c>
    </row>
    <row r="74" spans="16:19" x14ac:dyDescent="0.25">
      <c r="Q74" t="s">
        <v>515</v>
      </c>
      <c r="R74" s="111">
        <f>+R37+R54</f>
        <v>41392</v>
      </c>
      <c r="S74">
        <v>44</v>
      </c>
    </row>
    <row r="75" spans="16:19" ht="60" x14ac:dyDescent="0.25">
      <c r="Q75" s="138" t="s">
        <v>516</v>
      </c>
      <c r="R75" s="111">
        <f>+R48</f>
        <v>1500</v>
      </c>
      <c r="S75">
        <v>55</v>
      </c>
    </row>
    <row r="76" spans="16:19" x14ac:dyDescent="0.25">
      <c r="R76" s="5">
        <f>SUM(R64:R75)</f>
        <v>176912.76</v>
      </c>
    </row>
    <row r="77" spans="16:19" x14ac:dyDescent="0.25">
      <c r="R77" s="5">
        <f>+R63-R76</f>
        <v>0</v>
      </c>
    </row>
    <row r="79" spans="16:19" x14ac:dyDescent="0.25">
      <c r="P79" t="s">
        <v>517</v>
      </c>
      <c r="Q79" s="139">
        <v>35106</v>
      </c>
    </row>
    <row r="80" spans="16:19" x14ac:dyDescent="0.25">
      <c r="P80" t="s">
        <v>493</v>
      </c>
      <c r="Q80" s="140">
        <v>433.34</v>
      </c>
    </row>
    <row r="81" spans="16:17" x14ac:dyDescent="0.25">
      <c r="P81" t="s">
        <v>527</v>
      </c>
      <c r="Q81" s="140">
        <v>262</v>
      </c>
    </row>
    <row r="82" spans="16:17" x14ac:dyDescent="0.25">
      <c r="P82" t="s">
        <v>528</v>
      </c>
      <c r="Q82" s="139">
        <v>6304</v>
      </c>
    </row>
    <row r="83" spans="16:17" x14ac:dyDescent="0.25">
      <c r="P83" t="s">
        <v>529</v>
      </c>
      <c r="Q83" s="139">
        <v>6308</v>
      </c>
    </row>
    <row r="84" spans="16:17" x14ac:dyDescent="0.25">
      <c r="P84" t="s">
        <v>530</v>
      </c>
      <c r="Q84" s="139">
        <v>6300</v>
      </c>
    </row>
    <row r="85" spans="16:17" x14ac:dyDescent="0.25">
      <c r="P85" t="s">
        <v>493</v>
      </c>
      <c r="Q85" s="139">
        <v>1300</v>
      </c>
    </row>
    <row r="86" spans="16:17" x14ac:dyDescent="0.25">
      <c r="P86" t="s">
        <v>531</v>
      </c>
      <c r="Q86" s="139">
        <v>4812.4799999999996</v>
      </c>
    </row>
    <row r="87" spans="16:17" x14ac:dyDescent="0.25">
      <c r="P87" t="s">
        <v>532</v>
      </c>
      <c r="Q87" s="139">
        <v>1950</v>
      </c>
    </row>
    <row r="88" spans="16:17" x14ac:dyDescent="0.25">
      <c r="P88" t="s">
        <v>533</v>
      </c>
      <c r="Q88" s="139">
        <v>1500</v>
      </c>
    </row>
    <row r="89" spans="16:17" x14ac:dyDescent="0.25">
      <c r="P89" t="s">
        <v>534</v>
      </c>
      <c r="Q89" s="140">
        <v>500</v>
      </c>
    </row>
    <row r="90" spans="16:17" x14ac:dyDescent="0.25">
      <c r="P90" t="s">
        <v>535</v>
      </c>
      <c r="Q90" s="140">
        <v>352.8</v>
      </c>
    </row>
    <row r="91" spans="16:17" x14ac:dyDescent="0.25">
      <c r="P91" t="s">
        <v>535</v>
      </c>
      <c r="Q91" s="140">
        <v>999.6</v>
      </c>
    </row>
    <row r="92" spans="16:17" x14ac:dyDescent="0.25">
      <c r="P92" t="s">
        <v>535</v>
      </c>
      <c r="Q92" s="140">
        <v>200</v>
      </c>
    </row>
    <row r="93" spans="16:17" x14ac:dyDescent="0.25">
      <c r="P93" t="s">
        <v>533</v>
      </c>
      <c r="Q93" s="139">
        <v>1500</v>
      </c>
    </row>
    <row r="94" spans="16:17" x14ac:dyDescent="0.25">
      <c r="P94" t="s">
        <v>536</v>
      </c>
      <c r="Q94" s="139">
        <v>1500</v>
      </c>
    </row>
    <row r="95" spans="16:17" x14ac:dyDescent="0.25">
      <c r="P95" t="s">
        <v>529</v>
      </c>
      <c r="Q95" s="139">
        <v>7654</v>
      </c>
    </row>
    <row r="96" spans="16:17" x14ac:dyDescent="0.25">
      <c r="P96" t="s">
        <v>535</v>
      </c>
      <c r="Q96" s="140">
        <v>690.9</v>
      </c>
    </row>
    <row r="97" spans="16:18" x14ac:dyDescent="0.25">
      <c r="P97" t="s">
        <v>537</v>
      </c>
      <c r="Q97" s="140">
        <v>101.64</v>
      </c>
    </row>
    <row r="98" spans="16:18" x14ac:dyDescent="0.25">
      <c r="P98" t="s">
        <v>528</v>
      </c>
      <c r="Q98" s="139">
        <v>7806</v>
      </c>
    </row>
    <row r="99" spans="16:18" x14ac:dyDescent="0.25">
      <c r="P99" t="s">
        <v>535</v>
      </c>
      <c r="Q99" s="139">
        <v>1797.6</v>
      </c>
    </row>
    <row r="100" spans="16:18" x14ac:dyDescent="0.25">
      <c r="P100" t="s">
        <v>538</v>
      </c>
      <c r="Q100" s="140">
        <v>529.20000000000005</v>
      </c>
    </row>
    <row r="101" spans="16:18" x14ac:dyDescent="0.25">
      <c r="P101" t="s">
        <v>539</v>
      </c>
      <c r="Q101" s="139">
        <v>7800</v>
      </c>
    </row>
    <row r="102" spans="16:18" x14ac:dyDescent="0.25">
      <c r="P102" t="s">
        <v>535</v>
      </c>
      <c r="Q102" s="139">
        <v>1266.24</v>
      </c>
    </row>
    <row r="103" spans="16:18" x14ac:dyDescent="0.25">
      <c r="P103" t="s">
        <v>535</v>
      </c>
      <c r="Q103" s="140">
        <v>676.2</v>
      </c>
    </row>
    <row r="104" spans="16:18" x14ac:dyDescent="0.25">
      <c r="P104" t="s">
        <v>529</v>
      </c>
      <c r="Q104" s="139">
        <v>3904</v>
      </c>
    </row>
    <row r="105" spans="16:18" x14ac:dyDescent="0.25">
      <c r="P105" t="s">
        <v>528</v>
      </c>
      <c r="Q105" s="139">
        <v>2252</v>
      </c>
    </row>
    <row r="106" spans="16:18" x14ac:dyDescent="0.25">
      <c r="P106" t="s">
        <v>493</v>
      </c>
      <c r="Q106" s="139">
        <v>1300</v>
      </c>
    </row>
    <row r="107" spans="16:18" x14ac:dyDescent="0.25">
      <c r="P107" t="s">
        <v>540</v>
      </c>
      <c r="Q107" s="139">
        <v>3450</v>
      </c>
    </row>
    <row r="108" spans="16:18" x14ac:dyDescent="0.25">
      <c r="P108" t="s">
        <v>541</v>
      </c>
      <c r="Q108" s="139"/>
    </row>
    <row r="109" spans="16:18" x14ac:dyDescent="0.25">
      <c r="P109" t="s">
        <v>540</v>
      </c>
      <c r="Q109" s="139">
        <v>1050</v>
      </c>
    </row>
    <row r="110" spans="16:18" x14ac:dyDescent="0.25">
      <c r="P110" t="s">
        <v>529</v>
      </c>
      <c r="Q110" s="139">
        <v>1650</v>
      </c>
    </row>
    <row r="111" spans="16:18" x14ac:dyDescent="0.25">
      <c r="P111" t="s">
        <v>528</v>
      </c>
      <c r="Q111" s="139">
        <v>3000</v>
      </c>
    </row>
    <row r="112" spans="16:18" x14ac:dyDescent="0.25">
      <c r="P112" t="s">
        <v>542</v>
      </c>
      <c r="Q112" s="140"/>
      <c r="R112" s="111"/>
    </row>
    <row r="113" spans="16:17" x14ac:dyDescent="0.25">
      <c r="P113" t="s">
        <v>543</v>
      </c>
      <c r="Q113" s="139">
        <v>4680</v>
      </c>
    </row>
    <row r="114" spans="16:17" x14ac:dyDescent="0.25">
      <c r="P114" t="s">
        <v>539</v>
      </c>
      <c r="Q114" s="139">
        <v>3900</v>
      </c>
    </row>
    <row r="115" spans="16:17" x14ac:dyDescent="0.25">
      <c r="P115" t="s">
        <v>539</v>
      </c>
      <c r="Q115" s="139">
        <v>3150</v>
      </c>
    </row>
    <row r="116" spans="16:17" x14ac:dyDescent="0.25">
      <c r="P116" t="s">
        <v>535</v>
      </c>
      <c r="Q116" s="140">
        <v>946.5</v>
      </c>
    </row>
    <row r="117" spans="16:17" x14ac:dyDescent="0.25">
      <c r="P117" t="s">
        <v>544</v>
      </c>
      <c r="Q117" s="139">
        <v>16564.27</v>
      </c>
    </row>
    <row r="118" spans="16:17" x14ac:dyDescent="0.25">
      <c r="P118" t="s">
        <v>484</v>
      </c>
      <c r="Q118" s="139">
        <v>8000</v>
      </c>
    </row>
    <row r="119" spans="16:17" x14ac:dyDescent="0.25">
      <c r="P119" t="s">
        <v>532</v>
      </c>
      <c r="Q119" s="139">
        <v>3900</v>
      </c>
    </row>
    <row r="120" spans="16:17" x14ac:dyDescent="0.25">
      <c r="P120" t="s">
        <v>529</v>
      </c>
      <c r="Q120" s="140">
        <v>150</v>
      </c>
    </row>
    <row r="121" spans="16:17" x14ac:dyDescent="0.25">
      <c r="P121" t="s">
        <v>535</v>
      </c>
      <c r="Q121" s="139">
        <v>1628</v>
      </c>
    </row>
    <row r="122" spans="16:17" x14ac:dyDescent="0.25">
      <c r="Q122" s="139">
        <v>1250</v>
      </c>
    </row>
    <row r="123" spans="16:17" x14ac:dyDescent="0.25">
      <c r="P123" t="s">
        <v>535</v>
      </c>
      <c r="Q123" s="139">
        <v>1234.2</v>
      </c>
    </row>
    <row r="124" spans="16:17" x14ac:dyDescent="0.25">
      <c r="P124" t="s">
        <v>493</v>
      </c>
      <c r="Q124">
        <v>866.67</v>
      </c>
    </row>
    <row r="125" spans="16:17" x14ac:dyDescent="0.25">
      <c r="P125" t="s">
        <v>550</v>
      </c>
      <c r="Q125" s="111">
        <v>5200</v>
      </c>
    </row>
    <row r="126" spans="16:17" x14ac:dyDescent="0.25">
      <c r="P126" t="s">
        <v>531</v>
      </c>
      <c r="Q126" s="111">
        <v>4812.4799999999996</v>
      </c>
    </row>
    <row r="127" spans="16:17" x14ac:dyDescent="0.25">
      <c r="P127" t="s">
        <v>551</v>
      </c>
      <c r="Q127">
        <v>740</v>
      </c>
    </row>
    <row r="128" spans="16:17" x14ac:dyDescent="0.25">
      <c r="P128" t="s">
        <v>532</v>
      </c>
      <c r="Q128" s="111">
        <v>1950</v>
      </c>
    </row>
    <row r="129" spans="16:20" x14ac:dyDescent="0.25">
      <c r="P129" t="s">
        <v>484</v>
      </c>
      <c r="Q129" s="111">
        <v>3000</v>
      </c>
    </row>
    <row r="130" spans="16:20" x14ac:dyDescent="0.25">
      <c r="Q130" s="111">
        <f>SUM(Q79:Q129)</f>
        <v>176228.12000000002</v>
      </c>
      <c r="R130" s="111">
        <v>4680</v>
      </c>
      <c r="S130" s="111">
        <f>+Q130-R130</f>
        <v>171548.12000000002</v>
      </c>
    </row>
    <row r="132" spans="16:20" x14ac:dyDescent="0.25">
      <c r="Q132" t="s">
        <v>505</v>
      </c>
      <c r="R132" s="5">
        <f>+Q80+Q85+Q106+Q119+Q124+Q125+Q128</f>
        <v>14950.01</v>
      </c>
      <c r="S132" s="5">
        <v>2340</v>
      </c>
      <c r="T132" s="5">
        <f>+R132+S132</f>
        <v>17290.010000000002</v>
      </c>
    </row>
    <row r="133" spans="16:20" ht="30" x14ac:dyDescent="0.25">
      <c r="Q133" s="138" t="s">
        <v>553</v>
      </c>
      <c r="R133" s="5">
        <f>+Q79+Q82+Q83+Q84+Q95+Q98+Q101+Q104+Q105+Q107+Q109+Q110+Q111+Q114+Q115+Q120</f>
        <v>99784</v>
      </c>
      <c r="S133" s="5">
        <v>11820</v>
      </c>
      <c r="T133" s="5">
        <f t="shared" ref="T133:T149" si="6">+R133+S133</f>
        <v>111604</v>
      </c>
    </row>
    <row r="134" spans="16:20" x14ac:dyDescent="0.25">
      <c r="Q134" s="141" t="s">
        <v>507</v>
      </c>
      <c r="R134" s="142"/>
      <c r="S134" s="142">
        <v>26200</v>
      </c>
      <c r="T134" s="142">
        <f t="shared" si="6"/>
        <v>26200</v>
      </c>
    </row>
    <row r="135" spans="16:20" x14ac:dyDescent="0.25">
      <c r="Q135" t="s">
        <v>508</v>
      </c>
      <c r="R135" s="5"/>
      <c r="S135" s="5">
        <v>11055.8</v>
      </c>
      <c r="T135" s="5">
        <f t="shared" si="6"/>
        <v>11055.8</v>
      </c>
    </row>
    <row r="136" spans="16:20" x14ac:dyDescent="0.25">
      <c r="Q136" s="141" t="s">
        <v>509</v>
      </c>
      <c r="R136" s="142"/>
      <c r="S136" s="142">
        <v>30000</v>
      </c>
      <c r="T136" s="142">
        <f t="shared" si="6"/>
        <v>30000</v>
      </c>
    </row>
    <row r="137" spans="16:20" x14ac:dyDescent="0.25">
      <c r="Q137" t="s">
        <v>510</v>
      </c>
      <c r="R137" s="5">
        <f>+Q118+Q129</f>
        <v>11000</v>
      </c>
      <c r="S137" s="5">
        <v>1000</v>
      </c>
      <c r="T137" s="5">
        <f t="shared" si="6"/>
        <v>12000</v>
      </c>
    </row>
    <row r="138" spans="16:20" x14ac:dyDescent="0.25">
      <c r="Q138" t="s">
        <v>511</v>
      </c>
      <c r="R138" s="5">
        <f>+Q86+Q87+Q126</f>
        <v>11574.96</v>
      </c>
      <c r="S138" s="5">
        <v>9624.9599999999991</v>
      </c>
      <c r="T138" s="5">
        <f t="shared" si="6"/>
        <v>21199.919999999998</v>
      </c>
    </row>
    <row r="139" spans="16:20" x14ac:dyDescent="0.25">
      <c r="Q139" t="s">
        <v>512</v>
      </c>
      <c r="R139" s="5">
        <f>+Q94</f>
        <v>1500</v>
      </c>
      <c r="S139" s="5">
        <v>6560</v>
      </c>
      <c r="T139" s="5">
        <f t="shared" si="6"/>
        <v>8060</v>
      </c>
    </row>
    <row r="140" spans="16:20" ht="30" x14ac:dyDescent="0.25">
      <c r="Q140" s="143" t="s">
        <v>513</v>
      </c>
      <c r="R140" s="142"/>
      <c r="S140" s="142">
        <v>5000</v>
      </c>
      <c r="T140" s="142">
        <f t="shared" si="6"/>
        <v>5000</v>
      </c>
    </row>
    <row r="141" spans="16:20" x14ac:dyDescent="0.25">
      <c r="Q141" s="141" t="s">
        <v>514</v>
      </c>
      <c r="R141" s="142">
        <f>+Q117</f>
        <v>16564.27</v>
      </c>
      <c r="S141" s="142">
        <v>30420</v>
      </c>
      <c r="T141" s="142">
        <f t="shared" si="6"/>
        <v>46984.270000000004</v>
      </c>
    </row>
    <row r="142" spans="16:20" x14ac:dyDescent="0.25">
      <c r="Q142" s="141" t="s">
        <v>515</v>
      </c>
      <c r="R142" s="142"/>
      <c r="S142" s="142">
        <v>41392</v>
      </c>
      <c r="T142" s="142">
        <f t="shared" si="6"/>
        <v>41392</v>
      </c>
    </row>
    <row r="143" spans="16:20" ht="60" x14ac:dyDescent="0.25">
      <c r="Q143" s="138" t="s">
        <v>516</v>
      </c>
      <c r="R143" s="5"/>
      <c r="S143" s="5">
        <v>1500</v>
      </c>
      <c r="T143" s="5">
        <f t="shared" si="6"/>
        <v>1500</v>
      </c>
    </row>
    <row r="144" spans="16:20" ht="30" x14ac:dyDescent="0.25">
      <c r="Q144" s="138" t="s">
        <v>545</v>
      </c>
      <c r="R144" s="5">
        <f>+Q81</f>
        <v>262</v>
      </c>
      <c r="S144" s="5"/>
      <c r="T144" s="5">
        <f t="shared" si="6"/>
        <v>262</v>
      </c>
    </row>
    <row r="145" spans="17:20" x14ac:dyDescent="0.25">
      <c r="Q145" s="138" t="s">
        <v>546</v>
      </c>
      <c r="R145" s="5">
        <f>+Q88+Q89+Q93</f>
        <v>3500</v>
      </c>
      <c r="S145" s="5"/>
      <c r="T145" s="5">
        <f t="shared" si="6"/>
        <v>3500</v>
      </c>
    </row>
    <row r="146" spans="17:20" x14ac:dyDescent="0.25">
      <c r="Q146" s="138" t="s">
        <v>547</v>
      </c>
      <c r="R146" s="5">
        <f>+Q90+Q91+Q92+Q96+Q99+Q100+Q102+Q103+Q116+Q121+Q123</f>
        <v>10321.240000000002</v>
      </c>
      <c r="S146" s="5"/>
      <c r="T146" s="5">
        <f t="shared" si="6"/>
        <v>10321.240000000002</v>
      </c>
    </row>
    <row r="147" spans="17:20" x14ac:dyDescent="0.25">
      <c r="Q147" s="138" t="s">
        <v>548</v>
      </c>
      <c r="R147" s="5">
        <f>+Q97+Q122</f>
        <v>1351.64</v>
      </c>
      <c r="S147" s="5"/>
      <c r="T147" s="5">
        <f t="shared" si="6"/>
        <v>1351.64</v>
      </c>
    </row>
    <row r="148" spans="17:20" ht="30" x14ac:dyDescent="0.25">
      <c r="Q148" s="138" t="s">
        <v>549</v>
      </c>
      <c r="R148" s="5">
        <f>+Q113</f>
        <v>4680</v>
      </c>
      <c r="S148" s="5"/>
      <c r="T148" s="5">
        <f t="shared" si="6"/>
        <v>4680</v>
      </c>
    </row>
    <row r="149" spans="17:20" x14ac:dyDescent="0.25">
      <c r="Q149" s="138" t="s">
        <v>552</v>
      </c>
      <c r="R149" s="5">
        <f>+Q127</f>
        <v>740</v>
      </c>
      <c r="S149" s="5"/>
      <c r="T149" s="5">
        <f t="shared" si="6"/>
        <v>740</v>
      </c>
    </row>
    <row r="150" spans="17:20" x14ac:dyDescent="0.25">
      <c r="R150" s="5">
        <f>SUM(R132:R149)</f>
        <v>176228.12</v>
      </c>
      <c r="S150" s="5">
        <f>SUM(S132:S149)</f>
        <v>176912.76</v>
      </c>
      <c r="T150" s="5">
        <f>SUM(T132:T149)</f>
        <v>353140.88</v>
      </c>
    </row>
    <row r="151" spans="17:20" x14ac:dyDescent="0.25">
      <c r="R151" s="111"/>
      <c r="S151" s="5">
        <f>+R150+S150</f>
        <v>353140.88</v>
      </c>
    </row>
    <row r="153" spans="17:20" x14ac:dyDescent="0.25">
      <c r="Q153" t="s">
        <v>507</v>
      </c>
      <c r="R153" s="5">
        <f>+T134</f>
        <v>26200</v>
      </c>
    </row>
    <row r="154" spans="17:20" ht="30" x14ac:dyDescent="0.25">
      <c r="Q154" s="138" t="s">
        <v>513</v>
      </c>
      <c r="R154" s="5">
        <f>+T140</f>
        <v>5000</v>
      </c>
    </row>
    <row r="155" spans="17:20" x14ac:dyDescent="0.25">
      <c r="Q155" t="s">
        <v>514</v>
      </c>
      <c r="R155" s="5">
        <f>+T141</f>
        <v>46984.270000000004</v>
      </c>
    </row>
    <row r="156" spans="17:20" x14ac:dyDescent="0.25">
      <c r="Q156" t="s">
        <v>515</v>
      </c>
      <c r="R156" s="5">
        <f>+T142</f>
        <v>41392</v>
      </c>
    </row>
    <row r="157" spans="17:20" x14ac:dyDescent="0.25">
      <c r="Q157" t="s">
        <v>509</v>
      </c>
      <c r="R157" s="5">
        <f>+T136</f>
        <v>30000</v>
      </c>
    </row>
    <row r="158" spans="17:20" x14ac:dyDescent="0.25">
      <c r="R158" s="5">
        <f>SUM(R153:R157)</f>
        <v>149576.27000000002</v>
      </c>
    </row>
    <row r="159" spans="17:20" x14ac:dyDescent="0.25">
      <c r="Q159" t="s">
        <v>157</v>
      </c>
      <c r="R159" s="5">
        <f>+T132+T133+T135+T137+T138+T139+T143+T144+T145+T146+T147+T148+T149</f>
        <v>203564.61</v>
      </c>
    </row>
    <row r="160" spans="17:20" x14ac:dyDescent="0.25">
      <c r="R160" s="5">
        <f>SUM(R153:R159)</f>
        <v>502717.15</v>
      </c>
    </row>
    <row r="162" spans="17:20" x14ac:dyDescent="0.25">
      <c r="Q162" s="115" t="s">
        <v>505</v>
      </c>
      <c r="R162" s="116">
        <v>17290.010000000002</v>
      </c>
      <c r="S162" s="5"/>
      <c r="T162" s="5"/>
    </row>
    <row r="163" spans="17:20" ht="30" x14ac:dyDescent="0.25">
      <c r="Q163" s="123" t="s">
        <v>553</v>
      </c>
      <c r="R163" s="116">
        <v>111604</v>
      </c>
      <c r="S163" s="5"/>
      <c r="T163" s="5"/>
    </row>
    <row r="164" spans="17:20" x14ac:dyDescent="0.25">
      <c r="Q164" s="123" t="s">
        <v>508</v>
      </c>
      <c r="R164" s="116">
        <v>11055.8</v>
      </c>
      <c r="S164" s="5"/>
      <c r="T164" s="5"/>
    </row>
    <row r="165" spans="17:20" x14ac:dyDescent="0.25">
      <c r="Q165" s="123" t="s">
        <v>510</v>
      </c>
      <c r="R165" s="116">
        <v>12000</v>
      </c>
      <c r="S165" s="5"/>
      <c r="T165" s="5"/>
    </row>
    <row r="166" spans="17:20" x14ac:dyDescent="0.25">
      <c r="Q166" s="123" t="s">
        <v>511</v>
      </c>
      <c r="R166" s="116">
        <v>21199.919999999998</v>
      </c>
      <c r="S166" s="5"/>
      <c r="T166" s="5"/>
    </row>
    <row r="167" spans="17:20" x14ac:dyDescent="0.25">
      <c r="Q167" s="123" t="s">
        <v>512</v>
      </c>
      <c r="R167" s="116">
        <v>8060</v>
      </c>
      <c r="S167" s="5"/>
      <c r="T167" s="5"/>
    </row>
    <row r="168" spans="17:20" ht="60" x14ac:dyDescent="0.25">
      <c r="Q168" s="123" t="s">
        <v>516</v>
      </c>
      <c r="R168" s="116">
        <v>1500</v>
      </c>
      <c r="S168" s="5"/>
      <c r="T168" s="5"/>
    </row>
    <row r="169" spans="17:20" ht="30" x14ac:dyDescent="0.25">
      <c r="Q169" s="123" t="s">
        <v>545</v>
      </c>
      <c r="R169" s="116">
        <v>262</v>
      </c>
      <c r="S169" s="5"/>
      <c r="T169" s="5"/>
    </row>
    <row r="170" spans="17:20" x14ac:dyDescent="0.25">
      <c r="Q170" s="123" t="s">
        <v>546</v>
      </c>
      <c r="R170" s="116">
        <v>3500</v>
      </c>
      <c r="S170" s="5"/>
      <c r="T170" s="5"/>
    </row>
    <row r="171" spans="17:20" x14ac:dyDescent="0.25">
      <c r="Q171" s="123" t="s">
        <v>547</v>
      </c>
      <c r="R171" s="116">
        <v>10321.240000000002</v>
      </c>
      <c r="S171" s="5"/>
      <c r="T171" s="5"/>
    </row>
    <row r="172" spans="17:20" x14ac:dyDescent="0.25">
      <c r="Q172" s="123" t="s">
        <v>548</v>
      </c>
      <c r="R172" s="116">
        <v>1351.64</v>
      </c>
      <c r="S172" s="5"/>
      <c r="T172" s="5"/>
    </row>
    <row r="173" spans="17:20" ht="30" x14ac:dyDescent="0.25">
      <c r="Q173" s="123" t="s">
        <v>549</v>
      </c>
      <c r="R173" s="116">
        <v>4680</v>
      </c>
      <c r="S173" s="5"/>
      <c r="T173" s="5"/>
    </row>
    <row r="174" spans="17:20" x14ac:dyDescent="0.25">
      <c r="Q174" s="123" t="s">
        <v>552</v>
      </c>
      <c r="R174" s="116">
        <v>740</v>
      </c>
      <c r="S174" s="5"/>
      <c r="T174" s="5"/>
    </row>
    <row r="175" spans="17:20" x14ac:dyDescent="0.25">
      <c r="Q175" s="144" t="s">
        <v>554</v>
      </c>
      <c r="R175" s="118">
        <f>SUM(R162:R174)</f>
        <v>203564.61</v>
      </c>
      <c r="S175" s="5"/>
      <c r="T175" s="5"/>
    </row>
    <row r="177" spans="17:18" x14ac:dyDescent="0.25">
      <c r="Q177" s="115" t="s">
        <v>507</v>
      </c>
      <c r="R177" s="116">
        <v>26200</v>
      </c>
    </row>
    <row r="178" spans="17:18" ht="30" x14ac:dyDescent="0.25">
      <c r="Q178" s="123" t="s">
        <v>513</v>
      </c>
      <c r="R178" s="116">
        <v>5000</v>
      </c>
    </row>
    <row r="179" spans="17:18" x14ac:dyDescent="0.25">
      <c r="Q179" s="115" t="s">
        <v>514</v>
      </c>
      <c r="R179" s="116">
        <v>46984.270000000004</v>
      </c>
    </row>
    <row r="180" spans="17:18" x14ac:dyDescent="0.25">
      <c r="Q180" s="115" t="s">
        <v>515</v>
      </c>
      <c r="R180" s="116">
        <v>41392</v>
      </c>
    </row>
    <row r="181" spans="17:18" x14ac:dyDescent="0.25">
      <c r="Q181" s="115" t="s">
        <v>509</v>
      </c>
      <c r="R181" s="116">
        <v>30000</v>
      </c>
    </row>
    <row r="182" spans="17:18" x14ac:dyDescent="0.25">
      <c r="Q182" s="117" t="s">
        <v>555</v>
      </c>
      <c r="R182" s="118">
        <f>SUM(R177:R181)</f>
        <v>149576.27000000002</v>
      </c>
    </row>
    <row r="184" spans="17:18" x14ac:dyDescent="0.25">
      <c r="R184" s="5">
        <f>+R175+R182</f>
        <v>353140.88</v>
      </c>
    </row>
    <row r="186" spans="17:18" x14ac:dyDescent="0.25">
      <c r="Q186" s="115" t="s">
        <v>505</v>
      </c>
      <c r="R186" s="116">
        <v>17290.010000000002</v>
      </c>
    </row>
    <row r="187" spans="17:18" x14ac:dyDescent="0.25">
      <c r="Q187" s="123" t="s">
        <v>508</v>
      </c>
      <c r="R187" s="116">
        <v>11055.8</v>
      </c>
    </row>
    <row r="188" spans="17:18" x14ac:dyDescent="0.25">
      <c r="Q188" s="123" t="s">
        <v>572</v>
      </c>
      <c r="R188" s="116">
        <v>12000</v>
      </c>
    </row>
    <row r="189" spans="17:18" x14ac:dyDescent="0.25">
      <c r="Q189" s="123" t="s">
        <v>511</v>
      </c>
      <c r="R189" s="116">
        <v>21199.919999999998</v>
      </c>
    </row>
    <row r="190" spans="17:18" x14ac:dyDescent="0.25">
      <c r="Q190" s="123" t="s">
        <v>512</v>
      </c>
      <c r="R190" s="116">
        <v>8060</v>
      </c>
    </row>
    <row r="191" spans="17:18" ht="60" x14ac:dyDescent="0.25">
      <c r="Q191" s="123" t="s">
        <v>516</v>
      </c>
      <c r="R191" s="116">
        <v>1500</v>
      </c>
    </row>
    <row r="192" spans="17:18" ht="30" x14ac:dyDescent="0.25">
      <c r="Q192" s="123" t="s">
        <v>545</v>
      </c>
      <c r="R192" s="116">
        <v>262</v>
      </c>
    </row>
    <row r="193" spans="17:19" ht="30" x14ac:dyDescent="0.25">
      <c r="Q193" s="123" t="s">
        <v>513</v>
      </c>
      <c r="R193" s="116">
        <v>5000</v>
      </c>
      <c r="S193" s="5">
        <f>+R186+R187+R188+R189+R190+R191+R192+R193</f>
        <v>76367.73</v>
      </c>
    </row>
    <row r="194" spans="17:19" x14ac:dyDescent="0.25">
      <c r="Q194" s="123" t="s">
        <v>546</v>
      </c>
      <c r="R194" s="116">
        <v>3500</v>
      </c>
      <c r="S194" s="5">
        <f>+R194+R195+R196+R197+R198+R199+R200+R201</f>
        <v>205381.15000000002</v>
      </c>
    </row>
    <row r="195" spans="17:19" x14ac:dyDescent="0.25">
      <c r="Q195" s="123" t="s">
        <v>547</v>
      </c>
      <c r="R195" s="116">
        <v>10321.240000000002</v>
      </c>
      <c r="S195" s="5">
        <f>+S193+S194</f>
        <v>281748.88</v>
      </c>
    </row>
    <row r="196" spans="17:19" x14ac:dyDescent="0.25">
      <c r="Q196" s="123" t="s">
        <v>548</v>
      </c>
      <c r="R196" s="116">
        <v>1351.64</v>
      </c>
    </row>
    <row r="197" spans="17:19" ht="30" x14ac:dyDescent="0.25">
      <c r="Q197" s="123" t="s">
        <v>549</v>
      </c>
      <c r="R197" s="116">
        <v>4680</v>
      </c>
    </row>
    <row r="198" spans="17:19" x14ac:dyDescent="0.25">
      <c r="Q198" s="123" t="s">
        <v>552</v>
      </c>
      <c r="R198" s="116">
        <v>740</v>
      </c>
    </row>
    <row r="199" spans="17:19" x14ac:dyDescent="0.25">
      <c r="Q199" s="115" t="s">
        <v>507</v>
      </c>
      <c r="R199" s="116">
        <v>26200</v>
      </c>
    </row>
    <row r="200" spans="17:19" x14ac:dyDescent="0.25">
      <c r="Q200" s="115" t="s">
        <v>514</v>
      </c>
      <c r="R200" s="116">
        <v>46984.270000000004</v>
      </c>
    </row>
    <row r="201" spans="17:19" ht="30" x14ac:dyDescent="0.25">
      <c r="Q201" s="123" t="s">
        <v>553</v>
      </c>
      <c r="R201" s="116">
        <v>111604</v>
      </c>
    </row>
  </sheetData>
  <mergeCells count="12">
    <mergeCell ref="K22:K23"/>
    <mergeCell ref="L22:L23"/>
    <mergeCell ref="M22:M23"/>
    <mergeCell ref="N22:O22"/>
    <mergeCell ref="A2:A3"/>
    <mergeCell ref="B2:B3"/>
    <mergeCell ref="C2:C3"/>
    <mergeCell ref="D2:E2"/>
    <mergeCell ref="F12:F13"/>
    <mergeCell ref="G12:G13"/>
    <mergeCell ref="H12:H13"/>
    <mergeCell ref="I12:J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8"/>
  <sheetViews>
    <sheetView workbookViewId="0">
      <selection activeCell="C43" sqref="C43"/>
    </sheetView>
  </sheetViews>
  <sheetFormatPr defaultRowHeight="15" x14ac:dyDescent="0.25"/>
  <cols>
    <col min="3" max="3" width="47.140625" bestFit="1" customWidth="1"/>
    <col min="4" max="5" width="7.5703125" bestFit="1" customWidth="1"/>
  </cols>
  <sheetData>
    <row r="1" spans="3:7" ht="15.75" thickBot="1" x14ac:dyDescent="0.3"/>
    <row r="2" spans="3:7" ht="15.75" thickBot="1" x14ac:dyDescent="0.3">
      <c r="C2" s="168" t="s">
        <v>164</v>
      </c>
      <c r="D2" s="161">
        <v>2021</v>
      </c>
      <c r="E2" s="161">
        <v>2020</v>
      </c>
      <c r="F2" s="163" t="s">
        <v>445</v>
      </c>
      <c r="G2" s="164"/>
    </row>
    <row r="3" spans="3:7" ht="15.75" thickBot="1" x14ac:dyDescent="0.3">
      <c r="C3" s="169"/>
      <c r="D3" s="162"/>
      <c r="E3" s="162"/>
      <c r="F3" s="3" t="s">
        <v>2</v>
      </c>
      <c r="G3" s="3" t="s">
        <v>3</v>
      </c>
    </row>
    <row r="4" spans="3:7" ht="15.75" thickBot="1" x14ac:dyDescent="0.3">
      <c r="C4" s="4" t="s">
        <v>165</v>
      </c>
      <c r="D4" s="6">
        <v>87628</v>
      </c>
      <c r="E4" s="6">
        <f>43300+80000+109300</f>
        <v>232600</v>
      </c>
      <c r="F4" s="55">
        <f>+D4-E4</f>
        <v>-144972</v>
      </c>
      <c r="G4" s="13">
        <f>((F4*100)/E4)/100</f>
        <v>-0.62326741186586421</v>
      </c>
    </row>
    <row r="5" spans="3:7" ht="15.75" thickBot="1" x14ac:dyDescent="0.3">
      <c r="C5" s="4" t="s">
        <v>166</v>
      </c>
      <c r="D5" s="6">
        <v>523969</v>
      </c>
      <c r="E5" s="6">
        <v>439811</v>
      </c>
      <c r="F5" s="55">
        <f>+D5-E5</f>
        <v>84158</v>
      </c>
      <c r="G5" s="25">
        <f>((F5*100)/E5)/100</f>
        <v>0.19135037550220435</v>
      </c>
    </row>
    <row r="6" spans="3:7" ht="15.75" thickBot="1" x14ac:dyDescent="0.3">
      <c r="C6" s="4" t="s">
        <v>167</v>
      </c>
      <c r="D6" s="6">
        <v>66551</v>
      </c>
      <c r="E6" s="6">
        <f>29012.62+17700</f>
        <v>46712.619999999995</v>
      </c>
      <c r="F6" s="55">
        <f>+D6-E6</f>
        <v>19838.380000000005</v>
      </c>
      <c r="G6" s="25">
        <f>((F6*100)/E6)/100</f>
        <v>0.42468994460169446</v>
      </c>
    </row>
    <row r="7" spans="3:7" ht="15.75" thickBot="1" x14ac:dyDescent="0.3">
      <c r="C7" s="35" t="s">
        <v>168</v>
      </c>
      <c r="D7" s="36">
        <v>20087</v>
      </c>
      <c r="E7" s="36">
        <f>19787.78+2080+1713.92+2993</f>
        <v>26574.699999999997</v>
      </c>
      <c r="F7" s="55">
        <f>+D7-E7</f>
        <v>-6487.6999999999971</v>
      </c>
      <c r="G7" s="13">
        <f>((F7*100)/E7)/100</f>
        <v>-0.24413069573692264</v>
      </c>
    </row>
    <row r="8" spans="3:7" ht="15.75" thickBot="1" x14ac:dyDescent="0.3">
      <c r="C8" s="37" t="s">
        <v>16</v>
      </c>
      <c r="D8" s="38">
        <f>SUM(D4:D7)</f>
        <v>698235</v>
      </c>
      <c r="E8" s="38">
        <f>SUM(E4:E7)</f>
        <v>745698.32</v>
      </c>
      <c r="F8" s="56">
        <f>+D8-E8</f>
        <v>-47463.319999999949</v>
      </c>
      <c r="G8" s="14">
        <f>((F8*100)/E8)/100</f>
        <v>-6.3649493001405641E-2</v>
      </c>
    </row>
  </sheetData>
  <mergeCells count="4">
    <mergeCell ref="C2:C3"/>
    <mergeCell ref="D2:D3"/>
    <mergeCell ref="E2:E3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K21"/>
  <sheetViews>
    <sheetView workbookViewId="0">
      <selection activeCell="F17" sqref="F17:J21"/>
    </sheetView>
  </sheetViews>
  <sheetFormatPr defaultRowHeight="15" x14ac:dyDescent="0.25"/>
  <cols>
    <col min="6" max="6" width="34.7109375" bestFit="1" customWidth="1"/>
    <col min="7" max="7" width="8.140625" customWidth="1"/>
    <col min="8" max="8" width="11.85546875" bestFit="1" customWidth="1"/>
    <col min="9" max="9" width="10" bestFit="1" customWidth="1"/>
    <col min="10" max="10" width="7.7109375" bestFit="1" customWidth="1"/>
    <col min="11" max="11" width="11.42578125" bestFit="1" customWidth="1"/>
  </cols>
  <sheetData>
    <row r="2" spans="6:11" thickBot="1" x14ac:dyDescent="0.4"/>
    <row r="3" spans="6:11" ht="15.75" thickBot="1" x14ac:dyDescent="0.3">
      <c r="F3" s="1" t="s">
        <v>0</v>
      </c>
      <c r="G3" s="161">
        <v>2020</v>
      </c>
      <c r="H3" s="161">
        <v>2019</v>
      </c>
      <c r="I3" s="163" t="s">
        <v>10</v>
      </c>
      <c r="J3" s="164"/>
    </row>
    <row r="4" spans="6:11" ht="15.75" thickBot="1" x14ac:dyDescent="0.3">
      <c r="F4" s="2" t="s">
        <v>1</v>
      </c>
      <c r="G4" s="162"/>
      <c r="H4" s="162"/>
      <c r="I4" s="3" t="s">
        <v>2</v>
      </c>
      <c r="J4" s="3" t="s">
        <v>3</v>
      </c>
    </row>
    <row r="5" spans="6:11" thickBot="1" x14ac:dyDescent="0.4">
      <c r="F5" s="4" t="s">
        <v>4</v>
      </c>
      <c r="G5" s="6">
        <v>575857</v>
      </c>
      <c r="H5" s="6">
        <v>2276287</v>
      </c>
      <c r="I5" s="11">
        <f>+G5-H5</f>
        <v>-1700430</v>
      </c>
      <c r="J5" s="13">
        <f>((I5*100)/H5)/100</f>
        <v>-0.74701915883190484</v>
      </c>
      <c r="K5" s="7">
        <f>((I5*100)/H5)/100</f>
        <v>-0.74701915883190484</v>
      </c>
    </row>
    <row r="6" spans="6:11" thickBot="1" x14ac:dyDescent="0.4">
      <c r="F6" s="4" t="s">
        <v>5</v>
      </c>
      <c r="G6" s="6">
        <v>151400</v>
      </c>
      <c r="H6" s="6">
        <v>127400</v>
      </c>
      <c r="I6" s="11">
        <f t="shared" ref="I6:I9" si="0">+G6-H6</f>
        <v>24000</v>
      </c>
      <c r="J6" s="8">
        <f t="shared" ref="J6:J10" si="1">((I6*100)/H6)/100</f>
        <v>0.18838304552590265</v>
      </c>
      <c r="K6" s="7">
        <f>((I6*100)/H6)/100</f>
        <v>0.18838304552590265</v>
      </c>
    </row>
    <row r="7" spans="6:11" thickBot="1" x14ac:dyDescent="0.4">
      <c r="F7" s="4" t="s">
        <v>6</v>
      </c>
      <c r="G7" s="6">
        <v>125000</v>
      </c>
      <c r="H7" s="6">
        <v>130000</v>
      </c>
      <c r="I7" s="11">
        <f t="shared" si="0"/>
        <v>-5000</v>
      </c>
      <c r="J7" s="13">
        <f t="shared" si="1"/>
        <v>-3.8461538461538464E-2</v>
      </c>
      <c r="K7" s="7">
        <f t="shared" ref="K7:K10" si="2">((I7*100)/H7)/100</f>
        <v>-3.8461538461538464E-2</v>
      </c>
    </row>
    <row r="8" spans="6:11" thickBot="1" x14ac:dyDescent="0.4">
      <c r="F8" s="4" t="s">
        <v>7</v>
      </c>
      <c r="G8" s="6">
        <v>695544</v>
      </c>
      <c r="H8" s="6">
        <v>889044</v>
      </c>
      <c r="I8" s="11">
        <f t="shared" si="0"/>
        <v>-193500</v>
      </c>
      <c r="J8" s="13">
        <f t="shared" si="1"/>
        <v>-0.21764952015873232</v>
      </c>
      <c r="K8" s="7">
        <f t="shared" si="2"/>
        <v>-0.21764952015873232</v>
      </c>
    </row>
    <row r="9" spans="6:11" thickBot="1" x14ac:dyDescent="0.4">
      <c r="F9" s="4" t="s">
        <v>8</v>
      </c>
      <c r="G9" s="6">
        <v>450100</v>
      </c>
      <c r="H9" s="6">
        <v>537190</v>
      </c>
      <c r="I9" s="11">
        <f t="shared" si="0"/>
        <v>-87090</v>
      </c>
      <c r="J9" s="13">
        <f t="shared" si="1"/>
        <v>-0.16212140955713994</v>
      </c>
      <c r="K9" s="7">
        <f t="shared" si="2"/>
        <v>-0.16212140955713994</v>
      </c>
    </row>
    <row r="10" spans="6:11" thickBot="1" x14ac:dyDescent="0.4">
      <c r="F10" s="9" t="s">
        <v>9</v>
      </c>
      <c r="G10" s="10">
        <f>SUM(G5:G9)</f>
        <v>1997901</v>
      </c>
      <c r="H10" s="10">
        <f>SUM(H5:H9)</f>
        <v>3959921</v>
      </c>
      <c r="I10" s="12">
        <f>SUM(I5:I9)</f>
        <v>-1962020</v>
      </c>
      <c r="J10" s="14">
        <f t="shared" si="1"/>
        <v>-0.49546948032549132</v>
      </c>
      <c r="K10" s="7">
        <f t="shared" si="2"/>
        <v>-0.49546948032549132</v>
      </c>
    </row>
    <row r="13" spans="6:11" ht="14.45" x14ac:dyDescent="0.35">
      <c r="H13">
        <f>H6/I6</f>
        <v>5.3083333333333336</v>
      </c>
    </row>
    <row r="14" spans="6:11" ht="14.45" x14ac:dyDescent="0.35">
      <c r="H14" s="7">
        <v>5.3100000000000001E-2</v>
      </c>
    </row>
    <row r="15" spans="6:11" ht="14.45" x14ac:dyDescent="0.35">
      <c r="H15" s="5">
        <f>+H6*H14</f>
        <v>6764.9400000000005</v>
      </c>
    </row>
    <row r="16" spans="6:11" thickBot="1" x14ac:dyDescent="0.4"/>
    <row r="17" spans="6:10" ht="15.75" thickBot="1" x14ac:dyDescent="0.3">
      <c r="F17" s="1" t="s">
        <v>0</v>
      </c>
      <c r="G17" s="161">
        <v>2020</v>
      </c>
      <c r="H17" s="161">
        <v>2019</v>
      </c>
      <c r="I17" s="163" t="s">
        <v>10</v>
      </c>
      <c r="J17" s="164"/>
    </row>
    <row r="18" spans="6:10" ht="15.75" thickBot="1" x14ac:dyDescent="0.3">
      <c r="F18" s="2" t="s">
        <v>1</v>
      </c>
      <c r="G18" s="162"/>
      <c r="H18" s="162"/>
      <c r="I18" s="3" t="s">
        <v>2</v>
      </c>
      <c r="J18" s="3" t="s">
        <v>3</v>
      </c>
    </row>
    <row r="19" spans="6:10" thickBot="1" x14ac:dyDescent="0.4">
      <c r="F19" s="4" t="s">
        <v>11</v>
      </c>
      <c r="G19" s="6">
        <f>111006.63+1690.51+54501.5+29409.24+129490.62+7473+4319.85+2175.4+5443.44+3071.04+240.24+3373.35+4443.91+1608.88+1697.15+7780.57+7015.72+5911.74+9206.47+2965.09</f>
        <v>392824.34999999992</v>
      </c>
      <c r="H19" s="6">
        <v>1509012</v>
      </c>
      <c r="I19" s="11">
        <f>+G19-H19</f>
        <v>-1116187.6500000001</v>
      </c>
      <c r="J19" s="13">
        <f t="shared" ref="J19:J21" si="3">((I19*100)/H19)/100</f>
        <v>-0.73968109597538001</v>
      </c>
    </row>
    <row r="20" spans="6:10" thickBot="1" x14ac:dyDescent="0.4">
      <c r="F20" s="4" t="s">
        <v>12</v>
      </c>
      <c r="G20" s="6">
        <f>63805.3+15866.87+63805.3+6592.53*6</f>
        <v>183032.65</v>
      </c>
      <c r="H20" s="6">
        <v>767275</v>
      </c>
      <c r="I20" s="11">
        <f t="shared" ref="I20:I21" si="4">+G20-H20</f>
        <v>-584242.35</v>
      </c>
      <c r="J20" s="13">
        <f t="shared" si="3"/>
        <v>-0.76145104428008215</v>
      </c>
    </row>
    <row r="21" spans="6:10" thickBot="1" x14ac:dyDescent="0.4">
      <c r="F21" s="9" t="s">
        <v>9</v>
      </c>
      <c r="G21" s="10">
        <f>SUM(G19:G20)</f>
        <v>575856.99999999988</v>
      </c>
      <c r="H21" s="10">
        <f>SUM(H19:H20)</f>
        <v>2276287</v>
      </c>
      <c r="I21" s="12">
        <f t="shared" si="4"/>
        <v>-1700430</v>
      </c>
      <c r="J21" s="14">
        <f t="shared" si="3"/>
        <v>-0.74701915883190484</v>
      </c>
    </row>
  </sheetData>
  <mergeCells count="6">
    <mergeCell ref="G3:G4"/>
    <mergeCell ref="H3:H4"/>
    <mergeCell ref="I3:J3"/>
    <mergeCell ref="G17:G18"/>
    <mergeCell ref="H17:H18"/>
    <mergeCell ref="I17:J1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J22"/>
  <sheetViews>
    <sheetView workbookViewId="0">
      <selection activeCell="F4" sqref="F4:J21"/>
    </sheetView>
  </sheetViews>
  <sheetFormatPr defaultRowHeight="15" x14ac:dyDescent="0.25"/>
  <cols>
    <col min="6" max="6" width="34.5703125" bestFit="1" customWidth="1"/>
    <col min="7" max="8" width="8.85546875" bestFit="1" customWidth="1"/>
    <col min="9" max="9" width="10" bestFit="1" customWidth="1"/>
    <col min="10" max="10" width="7.7109375" bestFit="1" customWidth="1"/>
  </cols>
  <sheetData>
    <row r="3" spans="6:10" thickBot="1" x14ac:dyDescent="0.4"/>
    <row r="4" spans="6:10" ht="15.75" thickBot="1" x14ac:dyDescent="0.3">
      <c r="F4" s="166" t="s">
        <v>13</v>
      </c>
      <c r="G4" s="161">
        <v>2020</v>
      </c>
      <c r="H4" s="161">
        <v>2019</v>
      </c>
      <c r="I4" s="163" t="s">
        <v>10</v>
      </c>
      <c r="J4" s="164"/>
    </row>
    <row r="5" spans="6:10" ht="15.75" thickBot="1" x14ac:dyDescent="0.3">
      <c r="F5" s="167"/>
      <c r="G5" s="162"/>
      <c r="H5" s="162"/>
      <c r="I5" s="3" t="s">
        <v>2</v>
      </c>
      <c r="J5" s="3" t="s">
        <v>3</v>
      </c>
    </row>
    <row r="6" spans="6:10" thickBot="1" x14ac:dyDescent="0.4">
      <c r="F6" s="15" t="s">
        <v>14</v>
      </c>
      <c r="G6" s="16">
        <f>111006.53+1690.51+54501.5+29409.24</f>
        <v>196607.77999999997</v>
      </c>
      <c r="H6" s="16">
        <v>1270935</v>
      </c>
      <c r="I6" s="22">
        <f>+G6-H6</f>
        <v>-1074327.22</v>
      </c>
      <c r="J6" s="13">
        <f t="shared" ref="J6:J21" si="0">((I6*100)/H6)/100</f>
        <v>-0.84530461431937909</v>
      </c>
    </row>
    <row r="7" spans="6:10" thickBot="1" x14ac:dyDescent="0.4">
      <c r="F7" s="15" t="s">
        <v>15</v>
      </c>
      <c r="G7" s="16">
        <f>63805.3+15866.87</f>
        <v>79672.17</v>
      </c>
      <c r="H7" s="16">
        <v>482380</v>
      </c>
      <c r="I7" s="22">
        <f t="shared" ref="I7:I21" si="1">+G7-H7</f>
        <v>-402707.83</v>
      </c>
      <c r="J7" s="13">
        <f t="shared" si="0"/>
        <v>-0.83483525436377959</v>
      </c>
    </row>
    <row r="8" spans="6:10" thickBot="1" x14ac:dyDescent="0.4">
      <c r="F8" s="17" t="s">
        <v>16</v>
      </c>
      <c r="G8" s="18">
        <f>SUM(G6:G7)</f>
        <v>276279.94999999995</v>
      </c>
      <c r="H8" s="18">
        <v>1753315</v>
      </c>
      <c r="I8" s="23">
        <f t="shared" si="1"/>
        <v>-1477035.05</v>
      </c>
      <c r="J8" s="14">
        <f t="shared" si="0"/>
        <v>-0.84242423637509523</v>
      </c>
    </row>
    <row r="9" spans="6:10" thickBot="1" x14ac:dyDescent="0.4">
      <c r="F9" s="15" t="s">
        <v>17</v>
      </c>
      <c r="G9" s="16">
        <v>129490.62</v>
      </c>
      <c r="H9" s="16">
        <v>128424</v>
      </c>
      <c r="I9" s="22">
        <f t="shared" si="1"/>
        <v>1066.6199999999953</v>
      </c>
      <c r="J9" s="13">
        <f t="shared" si="0"/>
        <v>8.3054569239394138E-3</v>
      </c>
    </row>
    <row r="10" spans="6:10" thickBot="1" x14ac:dyDescent="0.4">
      <c r="F10" s="15" t="s">
        <v>18</v>
      </c>
      <c r="G10" s="16">
        <v>63805.3</v>
      </c>
      <c r="H10" s="16">
        <v>120595</v>
      </c>
      <c r="I10" s="22">
        <f t="shared" si="1"/>
        <v>-56789.7</v>
      </c>
      <c r="J10" s="13">
        <f t="shared" si="0"/>
        <v>-0.47091255856378789</v>
      </c>
    </row>
    <row r="11" spans="6:10" thickBot="1" x14ac:dyDescent="0.4">
      <c r="F11" s="17" t="s">
        <v>16</v>
      </c>
      <c r="G11" s="18">
        <f>SUM(G9:G10)</f>
        <v>193295.91999999998</v>
      </c>
      <c r="H11" s="18">
        <v>249019</v>
      </c>
      <c r="I11" s="23">
        <f t="shared" si="1"/>
        <v>-55723.080000000016</v>
      </c>
      <c r="J11" s="14">
        <f t="shared" si="0"/>
        <v>-0.22377039503009818</v>
      </c>
    </row>
    <row r="12" spans="6:10" thickBot="1" x14ac:dyDescent="0.4">
      <c r="F12" s="15" t="s">
        <v>19</v>
      </c>
      <c r="G12" s="16">
        <f>7473+4319.85+2175.4+5443.44+3071.04+240.24+3373.35+4443.91+1608.88+1697.15+7780.57+7015.72+5911.74</f>
        <v>54554.29</v>
      </c>
      <c r="H12" s="16">
        <v>87409</v>
      </c>
      <c r="I12" s="22">
        <f t="shared" si="1"/>
        <v>-32854.71</v>
      </c>
      <c r="J12" s="13">
        <f t="shared" si="0"/>
        <v>-0.37587330824057019</v>
      </c>
    </row>
    <row r="13" spans="6:10" thickBot="1" x14ac:dyDescent="0.4">
      <c r="F13" s="15" t="s">
        <v>20</v>
      </c>
      <c r="G13" s="16">
        <f>6592.53*6</f>
        <v>39555.18</v>
      </c>
      <c r="H13" s="16">
        <v>119225</v>
      </c>
      <c r="I13" s="22">
        <f t="shared" si="1"/>
        <v>-79669.820000000007</v>
      </c>
      <c r="J13" s="13">
        <f t="shared" si="0"/>
        <v>-0.66823082407213263</v>
      </c>
    </row>
    <row r="14" spans="6:10" thickBot="1" x14ac:dyDescent="0.4">
      <c r="F14" s="17" t="s">
        <v>16</v>
      </c>
      <c r="G14" s="18">
        <f>SUM(G12:G13)</f>
        <v>94109.47</v>
      </c>
      <c r="H14" s="18">
        <v>206634</v>
      </c>
      <c r="I14" s="23">
        <f t="shared" si="1"/>
        <v>-112524.53</v>
      </c>
      <c r="J14" s="14">
        <f t="shared" si="0"/>
        <v>-0.54455960780897628</v>
      </c>
    </row>
    <row r="15" spans="6:10" thickBot="1" x14ac:dyDescent="0.4">
      <c r="F15" s="19" t="s">
        <v>21</v>
      </c>
      <c r="G15" s="20"/>
      <c r="H15" s="20"/>
      <c r="I15" s="22"/>
      <c r="J15" s="13"/>
    </row>
    <row r="16" spans="6:10" thickBot="1" x14ac:dyDescent="0.4">
      <c r="F16" s="15" t="s">
        <v>22</v>
      </c>
      <c r="G16" s="21">
        <v>0</v>
      </c>
      <c r="H16" s="21">
        <v>367.64</v>
      </c>
      <c r="I16" s="22">
        <f t="shared" si="1"/>
        <v>-367.64</v>
      </c>
      <c r="J16" s="13"/>
    </row>
    <row r="17" spans="6:10" thickBot="1" x14ac:dyDescent="0.4">
      <c r="F17" s="15" t="s">
        <v>23</v>
      </c>
      <c r="G17" s="16">
        <v>9206.4699999999993</v>
      </c>
      <c r="H17" s="16">
        <v>15824</v>
      </c>
      <c r="I17" s="22">
        <f t="shared" si="1"/>
        <v>-6617.5300000000007</v>
      </c>
      <c r="J17" s="13">
        <f t="shared" si="0"/>
        <v>-0.41819577856420637</v>
      </c>
    </row>
    <row r="18" spans="6:10" thickBot="1" x14ac:dyDescent="0.4">
      <c r="F18" s="15" t="s">
        <v>24</v>
      </c>
      <c r="G18" s="16">
        <v>2965.09</v>
      </c>
      <c r="H18" s="16">
        <v>16800</v>
      </c>
      <c r="I18" s="22">
        <f t="shared" si="1"/>
        <v>-13834.91</v>
      </c>
      <c r="J18" s="13">
        <f t="shared" si="0"/>
        <v>-0.82350654761904762</v>
      </c>
    </row>
    <row r="19" spans="6:10" thickBot="1" x14ac:dyDescent="0.4">
      <c r="F19" s="15" t="s">
        <v>25</v>
      </c>
      <c r="G19" s="16">
        <v>0</v>
      </c>
      <c r="H19" s="16">
        <v>34328</v>
      </c>
      <c r="I19" s="22">
        <f t="shared" si="1"/>
        <v>-34328</v>
      </c>
      <c r="J19" s="13"/>
    </row>
    <row r="20" spans="6:10" thickBot="1" x14ac:dyDescent="0.4">
      <c r="F20" s="17" t="s">
        <v>16</v>
      </c>
      <c r="G20" s="18">
        <f>SUM(G16:G19)</f>
        <v>12171.56</v>
      </c>
      <c r="H20" s="18">
        <v>67319</v>
      </c>
      <c r="I20" s="23">
        <f t="shared" si="1"/>
        <v>-55147.44</v>
      </c>
      <c r="J20" s="13">
        <f t="shared" si="0"/>
        <v>-0.81919576939645566</v>
      </c>
    </row>
    <row r="21" spans="6:10" thickBot="1" x14ac:dyDescent="0.4">
      <c r="F21" s="17" t="s">
        <v>16</v>
      </c>
      <c r="G21" s="18">
        <f>+G8+G11+G14+G20</f>
        <v>575856.9</v>
      </c>
      <c r="H21" s="18">
        <v>2276287</v>
      </c>
      <c r="I21" s="23">
        <f t="shared" si="1"/>
        <v>-1700430.1</v>
      </c>
      <c r="J21" s="14">
        <f t="shared" si="0"/>
        <v>-0.74701920276309619</v>
      </c>
    </row>
    <row r="22" spans="6:10" ht="14.45" x14ac:dyDescent="0.35">
      <c r="G22" s="5"/>
    </row>
  </sheetData>
  <mergeCells count="4">
    <mergeCell ref="F4:F5"/>
    <mergeCell ref="G4:G5"/>
    <mergeCell ref="H4:H5"/>
    <mergeCell ref="I4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35"/>
  <sheetViews>
    <sheetView workbookViewId="0">
      <selection activeCell="D3" sqref="D3:H16"/>
    </sheetView>
  </sheetViews>
  <sheetFormatPr defaultRowHeight="15" x14ac:dyDescent="0.25"/>
  <cols>
    <col min="4" max="4" width="51" bestFit="1" customWidth="1"/>
    <col min="5" max="5" width="10" bestFit="1" customWidth="1"/>
    <col min="6" max="6" width="9.85546875" bestFit="1" customWidth="1"/>
    <col min="7" max="7" width="9.140625" bestFit="1" customWidth="1"/>
    <col min="8" max="8" width="9" bestFit="1" customWidth="1"/>
  </cols>
  <sheetData>
    <row r="2" spans="4:8" thickBot="1" x14ac:dyDescent="0.4"/>
    <row r="3" spans="4:8" ht="15.75" thickBot="1" x14ac:dyDescent="0.3">
      <c r="D3" s="161" t="s">
        <v>26</v>
      </c>
      <c r="E3" s="161">
        <v>2020</v>
      </c>
      <c r="F3" s="161">
        <v>2019</v>
      </c>
      <c r="G3" s="163" t="s">
        <v>10</v>
      </c>
      <c r="H3" s="164"/>
    </row>
    <row r="4" spans="4:8" ht="15.75" thickBot="1" x14ac:dyDescent="0.3">
      <c r="D4" s="162"/>
      <c r="E4" s="162"/>
      <c r="F4" s="162"/>
      <c r="G4" s="3" t="s">
        <v>2</v>
      </c>
      <c r="H4" s="3" t="s">
        <v>3</v>
      </c>
    </row>
    <row r="5" spans="4:8" thickBot="1" x14ac:dyDescent="0.4">
      <c r="D5" s="4" t="s">
        <v>27</v>
      </c>
      <c r="E5" s="6">
        <v>3814</v>
      </c>
      <c r="F5" s="6">
        <v>18542</v>
      </c>
      <c r="G5" s="11">
        <f>+E5-F5</f>
        <v>-14728</v>
      </c>
      <c r="H5" s="13">
        <f t="shared" ref="H5:H16" si="0">((G5*100)/F5)/100</f>
        <v>-0.79430482148635528</v>
      </c>
    </row>
    <row r="6" spans="4:8" thickBot="1" x14ac:dyDescent="0.4">
      <c r="D6" s="4" t="s">
        <v>28</v>
      </c>
      <c r="E6" s="6">
        <v>66240</v>
      </c>
      <c r="F6" s="6">
        <v>195500</v>
      </c>
      <c r="G6" s="11">
        <f t="shared" ref="G6:G15" si="1">+E6-F6</f>
        <v>-129260</v>
      </c>
      <c r="H6" s="13">
        <f t="shared" si="0"/>
        <v>-0.66117647058823537</v>
      </c>
    </row>
    <row r="7" spans="4:8" thickBot="1" x14ac:dyDescent="0.4">
      <c r="D7" s="4" t="s">
        <v>29</v>
      </c>
      <c r="E7" s="6">
        <v>25677</v>
      </c>
      <c r="F7" s="6">
        <v>169040</v>
      </c>
      <c r="G7" s="11">
        <f t="shared" si="1"/>
        <v>-143363</v>
      </c>
      <c r="H7" s="13">
        <f t="shared" si="0"/>
        <v>-0.84810104117368668</v>
      </c>
    </row>
    <row r="8" spans="4:8" thickBot="1" x14ac:dyDescent="0.4">
      <c r="D8" s="4" t="s">
        <v>30</v>
      </c>
      <c r="E8" s="6">
        <v>138</v>
      </c>
      <c r="F8" s="6">
        <v>6834</v>
      </c>
      <c r="G8" s="11">
        <f t="shared" si="1"/>
        <v>-6696</v>
      </c>
      <c r="H8" s="13">
        <f t="shared" si="0"/>
        <v>-0.97980684811237917</v>
      </c>
    </row>
    <row r="9" spans="4:8" thickBot="1" x14ac:dyDescent="0.4">
      <c r="D9" s="4" t="s">
        <v>31</v>
      </c>
      <c r="E9" s="6">
        <v>2745</v>
      </c>
      <c r="F9" s="6">
        <v>12066</v>
      </c>
      <c r="G9" s="11">
        <f t="shared" si="1"/>
        <v>-9321</v>
      </c>
      <c r="H9" s="13">
        <f t="shared" si="0"/>
        <v>-0.77250124316260571</v>
      </c>
    </row>
    <row r="10" spans="4:8" thickBot="1" x14ac:dyDescent="0.4">
      <c r="D10" s="4" t="s">
        <v>32</v>
      </c>
      <c r="E10" s="6">
        <v>0</v>
      </c>
      <c r="F10" s="6">
        <v>25000</v>
      </c>
      <c r="G10" s="11">
        <f t="shared" si="1"/>
        <v>-25000</v>
      </c>
      <c r="H10" s="13">
        <f t="shared" si="0"/>
        <v>-1</v>
      </c>
    </row>
    <row r="11" spans="4:8" thickBot="1" x14ac:dyDescent="0.4">
      <c r="D11" s="4" t="s">
        <v>33</v>
      </c>
      <c r="E11" s="6">
        <v>25000</v>
      </c>
      <c r="F11" s="6">
        <v>50000</v>
      </c>
      <c r="G11" s="11">
        <f t="shared" si="1"/>
        <v>-25000</v>
      </c>
      <c r="H11" s="13">
        <f t="shared" si="0"/>
        <v>-0.5</v>
      </c>
    </row>
    <row r="12" spans="4:8" thickBot="1" x14ac:dyDescent="0.4">
      <c r="D12" s="4" t="s">
        <v>35</v>
      </c>
      <c r="E12" s="6">
        <f>40000+11039</f>
        <v>51039</v>
      </c>
      <c r="F12" s="6">
        <v>22429</v>
      </c>
      <c r="G12" s="11">
        <f t="shared" si="1"/>
        <v>28610</v>
      </c>
      <c r="H12" s="25">
        <f t="shared" si="0"/>
        <v>1.2755807213874895</v>
      </c>
    </row>
    <row r="13" spans="4:8" thickBot="1" x14ac:dyDescent="0.4">
      <c r="D13" s="4" t="s">
        <v>34</v>
      </c>
      <c r="E13" s="6">
        <v>16900</v>
      </c>
      <c r="F13" s="6">
        <v>0</v>
      </c>
      <c r="G13" s="11">
        <f t="shared" si="1"/>
        <v>16900</v>
      </c>
      <c r="H13" s="25">
        <v>1</v>
      </c>
    </row>
    <row r="14" spans="4:8" thickBot="1" x14ac:dyDescent="0.4">
      <c r="D14" s="4" t="s">
        <v>36</v>
      </c>
      <c r="E14" s="6">
        <v>146117</v>
      </c>
      <c r="F14" s="6">
        <v>0</v>
      </c>
      <c r="G14" s="11">
        <f t="shared" si="1"/>
        <v>146117</v>
      </c>
      <c r="H14" s="25">
        <v>1</v>
      </c>
    </row>
    <row r="15" spans="4:8" thickBot="1" x14ac:dyDescent="0.4">
      <c r="D15" s="4" t="s">
        <v>37</v>
      </c>
      <c r="E15" s="6">
        <v>4375.7</v>
      </c>
      <c r="F15" s="6">
        <v>0</v>
      </c>
      <c r="G15" s="11">
        <f t="shared" si="1"/>
        <v>4375.7</v>
      </c>
      <c r="H15" s="25">
        <v>1</v>
      </c>
    </row>
    <row r="16" spans="4:8" thickBot="1" x14ac:dyDescent="0.4">
      <c r="D16" s="24" t="s">
        <v>16</v>
      </c>
      <c r="E16" s="10">
        <f>SUM(E5:E15)</f>
        <v>342045.7</v>
      </c>
      <c r="F16" s="10">
        <f t="shared" ref="F16:G16" si="2">SUM(F5:F15)</f>
        <v>499411</v>
      </c>
      <c r="G16" s="26">
        <f t="shared" si="2"/>
        <v>-157365.29999999999</v>
      </c>
      <c r="H16" s="14">
        <f t="shared" si="0"/>
        <v>-0.31510178990851218</v>
      </c>
    </row>
    <row r="18" spans="4:8" thickBot="1" x14ac:dyDescent="0.4"/>
    <row r="19" spans="4:8" ht="15.75" thickBot="1" x14ac:dyDescent="0.3">
      <c r="D19" s="161" t="s">
        <v>26</v>
      </c>
      <c r="E19" s="161">
        <v>2020</v>
      </c>
      <c r="F19" s="161">
        <v>2019</v>
      </c>
      <c r="G19" s="163" t="s">
        <v>10</v>
      </c>
      <c r="H19" s="164"/>
    </row>
    <row r="20" spans="4:8" ht="15.75" thickBot="1" x14ac:dyDescent="0.3">
      <c r="D20" s="165"/>
      <c r="E20" s="162"/>
      <c r="F20" s="162"/>
      <c r="G20" s="3" t="s">
        <v>2</v>
      </c>
      <c r="H20" s="3" t="s">
        <v>3</v>
      </c>
    </row>
    <row r="21" spans="4:8" thickBot="1" x14ac:dyDescent="0.4">
      <c r="D21" s="4" t="s">
        <v>38</v>
      </c>
      <c r="E21" s="6">
        <v>145552</v>
      </c>
      <c r="F21" s="6">
        <v>206966</v>
      </c>
      <c r="G21" s="11">
        <f t="shared" ref="G21:G28" si="3">+E21-F21</f>
        <v>-61414</v>
      </c>
      <c r="H21" s="13">
        <f t="shared" ref="H21:H28" si="4">((G21*100)/F21)/100</f>
        <v>-0.2967347293758395</v>
      </c>
    </row>
    <row r="22" spans="4:8" thickBot="1" x14ac:dyDescent="0.4">
      <c r="D22" s="4" t="s">
        <v>39</v>
      </c>
      <c r="E22" s="6">
        <v>26749</v>
      </c>
      <c r="F22" s="6">
        <v>16081</v>
      </c>
      <c r="G22" s="11">
        <f t="shared" si="3"/>
        <v>10668</v>
      </c>
      <c r="H22" s="25">
        <f t="shared" si="4"/>
        <v>0.66339158012561417</v>
      </c>
    </row>
    <row r="23" spans="4:8" thickBot="1" x14ac:dyDescent="0.4">
      <c r="D23" s="4" t="s">
        <v>40</v>
      </c>
      <c r="E23" s="6">
        <f>6000+13000</f>
        <v>19000</v>
      </c>
      <c r="F23" s="6">
        <v>18359</v>
      </c>
      <c r="G23" s="11">
        <f t="shared" si="3"/>
        <v>641</v>
      </c>
      <c r="H23" s="25">
        <f t="shared" si="4"/>
        <v>3.4914755705648455E-2</v>
      </c>
    </row>
    <row r="24" spans="4:8" thickBot="1" x14ac:dyDescent="0.4">
      <c r="D24" s="4" t="s">
        <v>41</v>
      </c>
      <c r="E24" s="6">
        <v>5488</v>
      </c>
      <c r="F24" s="6">
        <v>5199</v>
      </c>
      <c r="G24" s="11">
        <f t="shared" si="3"/>
        <v>289</v>
      </c>
      <c r="H24" s="25">
        <f t="shared" si="4"/>
        <v>5.5587613002500487E-2</v>
      </c>
    </row>
    <row r="25" spans="4:8" ht="15.75" thickBot="1" x14ac:dyDescent="0.3">
      <c r="D25" s="4" t="s">
        <v>46</v>
      </c>
      <c r="E25" s="6">
        <v>43384.88</v>
      </c>
      <c r="F25" s="6" t="s">
        <v>42</v>
      </c>
      <c r="G25" s="11">
        <f>43385-41541</f>
        <v>1844</v>
      </c>
      <c r="H25" s="25">
        <f>((G25*100)/41541)/100</f>
        <v>4.4389879877711175E-2</v>
      </c>
    </row>
    <row r="26" spans="4:8" thickBot="1" x14ac:dyDescent="0.4">
      <c r="D26" s="4" t="s">
        <v>43</v>
      </c>
      <c r="E26" s="6">
        <v>3213</v>
      </c>
      <c r="F26" s="6">
        <v>1487</v>
      </c>
      <c r="G26" s="11">
        <f t="shared" si="3"/>
        <v>1726</v>
      </c>
      <c r="H26" s="25">
        <f t="shared" si="4"/>
        <v>1.1607262945527907</v>
      </c>
    </row>
    <row r="27" spans="4:8" thickBot="1" x14ac:dyDescent="0.4">
      <c r="D27" s="4" t="s">
        <v>44</v>
      </c>
      <c r="E27" s="6">
        <v>110112</v>
      </c>
      <c r="F27" s="6">
        <v>0</v>
      </c>
      <c r="G27" s="11">
        <f t="shared" si="3"/>
        <v>110112</v>
      </c>
      <c r="H27" s="25">
        <v>1</v>
      </c>
    </row>
    <row r="28" spans="4:8" thickBot="1" x14ac:dyDescent="0.4">
      <c r="D28" s="24" t="s">
        <v>45</v>
      </c>
      <c r="E28" s="10">
        <f>SUM(E21:E27)</f>
        <v>353498.88</v>
      </c>
      <c r="F28" s="10">
        <f>SUM(F21:F27)+41541</f>
        <v>289633</v>
      </c>
      <c r="G28" s="12">
        <f t="shared" si="3"/>
        <v>63865.880000000005</v>
      </c>
      <c r="H28" s="28">
        <f t="shared" si="4"/>
        <v>0.22050622684569784</v>
      </c>
    </row>
    <row r="30" spans="4:8" ht="14.45" x14ac:dyDescent="0.35">
      <c r="F30" s="5"/>
    </row>
    <row r="35" spans="7:7" x14ac:dyDescent="0.25">
      <c r="G35" s="5" t="e">
        <f>+E25-F25</f>
        <v>#VALUE!</v>
      </c>
    </row>
  </sheetData>
  <mergeCells count="8">
    <mergeCell ref="D3:D4"/>
    <mergeCell ref="E3:E4"/>
    <mergeCell ref="F3:F4"/>
    <mergeCell ref="G3:H3"/>
    <mergeCell ref="D19:D20"/>
    <mergeCell ref="E19:E20"/>
    <mergeCell ref="F19:F20"/>
    <mergeCell ref="G19:H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35"/>
  <sheetViews>
    <sheetView workbookViewId="0">
      <selection activeCell="E20" sqref="E20:I35"/>
    </sheetView>
  </sheetViews>
  <sheetFormatPr defaultRowHeight="15" x14ac:dyDescent="0.25"/>
  <cols>
    <col min="5" max="5" width="47.85546875" bestFit="1" customWidth="1"/>
    <col min="6" max="7" width="9.85546875" bestFit="1" customWidth="1"/>
    <col min="8" max="8" width="9.5703125" bestFit="1" customWidth="1"/>
    <col min="9" max="9" width="7.7109375" bestFit="1" customWidth="1"/>
  </cols>
  <sheetData>
    <row r="2" spans="5:9" thickBot="1" x14ac:dyDescent="0.4"/>
    <row r="3" spans="5:9" ht="15.75" thickBot="1" x14ac:dyDescent="0.3">
      <c r="E3" s="29" t="s">
        <v>47</v>
      </c>
      <c r="F3" s="161">
        <v>2020</v>
      </c>
      <c r="G3" s="161">
        <v>2019</v>
      </c>
      <c r="H3" s="163" t="s">
        <v>10</v>
      </c>
      <c r="I3" s="164"/>
    </row>
    <row r="4" spans="5:9" ht="15.75" thickBot="1" x14ac:dyDescent="0.3">
      <c r="E4" s="30" t="s">
        <v>1</v>
      </c>
      <c r="F4" s="162"/>
      <c r="G4" s="162"/>
      <c r="H4" s="3" t="s">
        <v>2</v>
      </c>
      <c r="I4" s="3" t="s">
        <v>3</v>
      </c>
    </row>
    <row r="5" spans="5:9" thickBot="1" x14ac:dyDescent="0.4">
      <c r="E5" s="4" t="s">
        <v>48</v>
      </c>
      <c r="F5" s="6">
        <f>8253045+84629+561234</f>
        <v>8898908</v>
      </c>
      <c r="G5" s="6">
        <v>9110947</v>
      </c>
      <c r="H5" s="27">
        <f>+F5-G5</f>
        <v>-212039</v>
      </c>
      <c r="I5" s="13">
        <f t="shared" ref="I5:I8" si="0">((H5*100)/G5)/100</f>
        <v>-2.3272992368411322E-2</v>
      </c>
    </row>
    <row r="6" spans="5:9" thickBot="1" x14ac:dyDescent="0.4">
      <c r="E6" s="4" t="s">
        <v>49</v>
      </c>
      <c r="F6" s="6">
        <v>2500000</v>
      </c>
      <c r="G6" s="6">
        <v>3026217</v>
      </c>
      <c r="H6" s="27">
        <f t="shared" ref="H6:H8" si="1">+F6-G6</f>
        <v>-526217</v>
      </c>
      <c r="I6" s="13">
        <f t="shared" si="0"/>
        <v>-0.17388607624634983</v>
      </c>
    </row>
    <row r="7" spans="5:9" thickBot="1" x14ac:dyDescent="0.4">
      <c r="E7" s="4" t="s">
        <v>50</v>
      </c>
      <c r="F7" s="6">
        <v>200000</v>
      </c>
      <c r="G7" s="6">
        <v>200000</v>
      </c>
      <c r="H7" s="27"/>
      <c r="I7" s="13"/>
    </row>
    <row r="8" spans="5:9" thickBot="1" x14ac:dyDescent="0.4">
      <c r="E8" s="4" t="s">
        <v>51</v>
      </c>
      <c r="F8" s="6">
        <v>1000000</v>
      </c>
      <c r="G8" s="6">
        <v>2000000</v>
      </c>
      <c r="H8" s="27">
        <f t="shared" si="1"/>
        <v>-1000000</v>
      </c>
      <c r="I8" s="13">
        <f t="shared" si="0"/>
        <v>-0.5</v>
      </c>
    </row>
    <row r="9" spans="5:9" thickBot="1" x14ac:dyDescent="0.4">
      <c r="E9" s="9" t="s">
        <v>52</v>
      </c>
      <c r="F9" s="10">
        <f>SUM(F5:F8)</f>
        <v>12598908</v>
      </c>
      <c r="G9" s="10">
        <f>SUM(G5:G8)</f>
        <v>14337164</v>
      </c>
      <c r="H9" s="26">
        <f>SUM(H5:H8)</f>
        <v>-1738256</v>
      </c>
      <c r="I9" s="14">
        <f>((H9*100)/G9)/100</f>
        <v>-0.12124127198377588</v>
      </c>
    </row>
    <row r="11" spans="5:9" thickBot="1" x14ac:dyDescent="0.4"/>
    <row r="12" spans="5:9" ht="15.75" thickBot="1" x14ac:dyDescent="0.3">
      <c r="E12" s="1" t="s">
        <v>53</v>
      </c>
      <c r="F12" s="161">
        <v>2020</v>
      </c>
      <c r="G12" s="161">
        <v>2019</v>
      </c>
      <c r="H12" s="163" t="s">
        <v>10</v>
      </c>
      <c r="I12" s="164"/>
    </row>
    <row r="13" spans="5:9" ht="15.75" thickBot="1" x14ac:dyDescent="0.3">
      <c r="E13" s="2" t="s">
        <v>1</v>
      </c>
      <c r="F13" s="162"/>
      <c r="G13" s="162"/>
      <c r="H13" s="3" t="s">
        <v>2</v>
      </c>
      <c r="I13" s="3" t="s">
        <v>3</v>
      </c>
    </row>
    <row r="14" spans="5:9" thickBot="1" x14ac:dyDescent="0.4">
      <c r="E14" s="4" t="s">
        <v>54</v>
      </c>
      <c r="F14" s="6">
        <v>8253045</v>
      </c>
      <c r="G14" s="6">
        <v>8648619</v>
      </c>
      <c r="H14" s="27">
        <f t="shared" ref="H14:H15" si="2">+F14-G14</f>
        <v>-395574</v>
      </c>
      <c r="I14" s="13">
        <f t="shared" ref="I14:I15" si="3">((H14*100)/G14)/100</f>
        <v>-4.5738400546954369E-2</v>
      </c>
    </row>
    <row r="15" spans="5:9" thickBot="1" x14ac:dyDescent="0.4">
      <c r="E15" s="4" t="s">
        <v>55</v>
      </c>
      <c r="F15" s="6">
        <v>84629</v>
      </c>
      <c r="G15" s="6">
        <v>88371</v>
      </c>
      <c r="H15" s="27">
        <f t="shared" si="2"/>
        <v>-3742</v>
      </c>
      <c r="I15" s="13">
        <f t="shared" si="3"/>
        <v>-4.2344207941519274E-2</v>
      </c>
    </row>
    <row r="16" spans="5:9" thickBot="1" x14ac:dyDescent="0.4">
      <c r="E16" s="4" t="s">
        <v>56</v>
      </c>
      <c r="F16" s="6">
        <v>561234</v>
      </c>
      <c r="G16" s="6">
        <v>373957</v>
      </c>
      <c r="H16" s="33">
        <f t="shared" ref="H16" si="4">+F16-G16</f>
        <v>187277</v>
      </c>
      <c r="I16" s="25">
        <f t="shared" ref="I16" si="5">((H16*100)/G16)/100</f>
        <v>0.50079822011621655</v>
      </c>
    </row>
    <row r="17" spans="5:9" thickBot="1" x14ac:dyDescent="0.4">
      <c r="E17" s="9" t="s">
        <v>57</v>
      </c>
      <c r="F17" s="32">
        <v>9110947</v>
      </c>
      <c r="G17" s="32">
        <v>8646394</v>
      </c>
      <c r="H17" s="26">
        <f>SUM(H13:H16)</f>
        <v>-212039</v>
      </c>
      <c r="I17" s="14">
        <f>((H17*100)/G17)/100</f>
        <v>-2.4523402472753378E-2</v>
      </c>
    </row>
    <row r="19" spans="5:9" thickBot="1" x14ac:dyDescent="0.4"/>
    <row r="20" spans="5:9" ht="15.75" thickBot="1" x14ac:dyDescent="0.3">
      <c r="E20" s="29" t="s">
        <v>58</v>
      </c>
      <c r="F20" s="161">
        <v>2020</v>
      </c>
      <c r="G20" s="161">
        <v>2019</v>
      </c>
      <c r="H20" s="163" t="s">
        <v>10</v>
      </c>
      <c r="I20" s="164"/>
    </row>
    <row r="21" spans="5:9" ht="15.75" thickBot="1" x14ac:dyDescent="0.3">
      <c r="E21" s="30" t="s">
        <v>1</v>
      </c>
      <c r="F21" s="162"/>
      <c r="G21" s="162"/>
      <c r="H21" s="3" t="s">
        <v>2</v>
      </c>
      <c r="I21" s="3" t="s">
        <v>3</v>
      </c>
    </row>
    <row r="22" spans="5:9" thickBot="1" x14ac:dyDescent="0.4">
      <c r="E22" s="34" t="s">
        <v>59</v>
      </c>
      <c r="F22" s="6">
        <v>90951</v>
      </c>
      <c r="G22" s="6">
        <v>317049</v>
      </c>
      <c r="H22" s="27">
        <f t="shared" ref="H22:H25" si="6">+F22-G22</f>
        <v>-226098</v>
      </c>
      <c r="I22" s="13">
        <f t="shared" ref="I22:I25" si="7">((H22*100)/G22)/100</f>
        <v>-0.7131326703443317</v>
      </c>
    </row>
    <row r="23" spans="5:9" thickBot="1" x14ac:dyDescent="0.4">
      <c r="E23" s="34" t="s">
        <v>60</v>
      </c>
      <c r="F23" s="6">
        <v>91715</v>
      </c>
      <c r="G23" s="6">
        <v>154304</v>
      </c>
      <c r="H23" s="27">
        <f t="shared" si="6"/>
        <v>-62589</v>
      </c>
      <c r="I23" s="13">
        <f t="shared" si="7"/>
        <v>-0.4056213708004977</v>
      </c>
    </row>
    <row r="24" spans="5:9" thickBot="1" x14ac:dyDescent="0.4">
      <c r="E24" s="34" t="s">
        <v>61</v>
      </c>
      <c r="F24" s="6">
        <v>18292</v>
      </c>
      <c r="G24" s="6">
        <v>3293</v>
      </c>
      <c r="H24" s="33">
        <f t="shared" si="6"/>
        <v>14999</v>
      </c>
      <c r="I24" s="25">
        <f t="shared" si="7"/>
        <v>4.5548132402064985</v>
      </c>
    </row>
    <row r="25" spans="5:9" thickBot="1" x14ac:dyDescent="0.4">
      <c r="E25" s="31" t="s">
        <v>62</v>
      </c>
      <c r="F25" s="32">
        <f>SUM(F22:F24)</f>
        <v>200958</v>
      </c>
      <c r="G25" s="32">
        <f>SUM(G22:G24)</f>
        <v>474646</v>
      </c>
      <c r="H25" s="27">
        <f t="shared" si="6"/>
        <v>-273688</v>
      </c>
      <c r="I25" s="13">
        <f t="shared" si="7"/>
        <v>-0.57661499306851849</v>
      </c>
    </row>
    <row r="27" spans="5:9" thickBot="1" x14ac:dyDescent="0.4"/>
    <row r="28" spans="5:9" ht="15.75" thickBot="1" x14ac:dyDescent="0.3">
      <c r="E28" s="161" t="s">
        <v>63</v>
      </c>
      <c r="F28" s="161">
        <v>2020</v>
      </c>
      <c r="G28" s="161">
        <v>2019</v>
      </c>
      <c r="H28" s="163" t="s">
        <v>10</v>
      </c>
      <c r="I28" s="164"/>
    </row>
    <row r="29" spans="5:9" ht="15.75" thickBot="1" x14ac:dyDescent="0.3">
      <c r="E29" s="162"/>
      <c r="F29" s="162"/>
      <c r="G29" s="162"/>
      <c r="H29" s="3" t="s">
        <v>2</v>
      </c>
      <c r="I29" s="3" t="s">
        <v>3</v>
      </c>
    </row>
    <row r="30" spans="5:9" thickBot="1" x14ac:dyDescent="0.4">
      <c r="E30" s="4" t="s">
        <v>64</v>
      </c>
      <c r="F30" s="6">
        <v>2095111</v>
      </c>
      <c r="G30" s="6">
        <v>5641434</v>
      </c>
      <c r="H30" s="27">
        <f t="shared" ref="H30" si="8">+F30-G30</f>
        <v>-3546323</v>
      </c>
      <c r="I30" s="13">
        <f t="shared" ref="I30" si="9">((H30*100)/G30)/100</f>
        <v>-0.62862084356566084</v>
      </c>
    </row>
    <row r="31" spans="5:9" ht="15.75" thickBot="1" x14ac:dyDescent="0.3">
      <c r="E31" s="4" t="s">
        <v>65</v>
      </c>
      <c r="F31" s="6">
        <v>1619568</v>
      </c>
      <c r="G31" s="6">
        <v>1824521</v>
      </c>
      <c r="H31" s="27">
        <f t="shared" ref="H31:H35" si="10">+F31-G31</f>
        <v>-204953</v>
      </c>
      <c r="I31" s="13">
        <f t="shared" ref="I31:I35" si="11">((H31*100)/G31)/100</f>
        <v>-0.112332497132124</v>
      </c>
    </row>
    <row r="32" spans="5:9" ht="15.75" thickBot="1" x14ac:dyDescent="0.3">
      <c r="E32" s="4" t="s">
        <v>66</v>
      </c>
      <c r="F32" s="6">
        <v>195228</v>
      </c>
      <c r="G32" s="6">
        <v>205112</v>
      </c>
      <c r="H32" s="27">
        <f t="shared" si="10"/>
        <v>-9884</v>
      </c>
      <c r="I32" s="13">
        <f t="shared" si="11"/>
        <v>-4.8188306876243224E-2</v>
      </c>
    </row>
    <row r="33" spans="5:9" ht="15.75" thickBot="1" x14ac:dyDescent="0.3">
      <c r="E33" s="4" t="s">
        <v>67</v>
      </c>
      <c r="F33" s="6">
        <v>221449</v>
      </c>
      <c r="G33" s="6">
        <v>291345</v>
      </c>
      <c r="H33" s="27">
        <f t="shared" si="10"/>
        <v>-69896</v>
      </c>
      <c r="I33" s="13">
        <f t="shared" si="11"/>
        <v>-0.23990801283701454</v>
      </c>
    </row>
    <row r="34" spans="5:9" ht="15.75" thickBot="1" x14ac:dyDescent="0.3">
      <c r="E34" s="4" t="s">
        <v>68</v>
      </c>
      <c r="F34" s="6">
        <v>185264</v>
      </c>
      <c r="G34" s="6">
        <v>179560</v>
      </c>
      <c r="H34" s="33">
        <f t="shared" si="10"/>
        <v>5704</v>
      </c>
      <c r="I34" s="25">
        <f t="shared" si="11"/>
        <v>3.176654043216752E-2</v>
      </c>
    </row>
    <row r="35" spans="5:9" ht="15.75" thickBot="1" x14ac:dyDescent="0.3">
      <c r="E35" s="24" t="s">
        <v>16</v>
      </c>
      <c r="F35" s="10">
        <f>SUM(F30:F34)</f>
        <v>4316620</v>
      </c>
      <c r="G35" s="10">
        <f>SUM(G30:G34)</f>
        <v>8141972</v>
      </c>
      <c r="H35" s="26">
        <f t="shared" si="10"/>
        <v>-3825352</v>
      </c>
      <c r="I35" s="14">
        <f t="shared" si="11"/>
        <v>-0.46983114164480055</v>
      </c>
    </row>
  </sheetData>
  <mergeCells count="13">
    <mergeCell ref="E28:E29"/>
    <mergeCell ref="F28:F29"/>
    <mergeCell ref="G28:G29"/>
    <mergeCell ref="H28:I28"/>
    <mergeCell ref="F20:F21"/>
    <mergeCell ref="G20:G21"/>
    <mergeCell ref="H20:I20"/>
    <mergeCell ref="F3:F4"/>
    <mergeCell ref="G3:G4"/>
    <mergeCell ref="H3:I3"/>
    <mergeCell ref="F12:F13"/>
    <mergeCell ref="G12:G13"/>
    <mergeCell ref="H12:I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30"/>
  <sheetViews>
    <sheetView workbookViewId="0">
      <selection activeCell="E3" sqref="E3:I30"/>
    </sheetView>
  </sheetViews>
  <sheetFormatPr defaultRowHeight="15" x14ac:dyDescent="0.25"/>
  <cols>
    <col min="5" max="5" width="42.85546875" customWidth="1"/>
    <col min="6" max="7" width="8.85546875" bestFit="1" customWidth="1"/>
    <col min="8" max="8" width="9.5703125" bestFit="1" customWidth="1"/>
  </cols>
  <sheetData>
    <row r="2" spans="5:9" thickBot="1" x14ac:dyDescent="0.4"/>
    <row r="3" spans="5:9" ht="15.75" thickBot="1" x14ac:dyDescent="0.3">
      <c r="E3" s="168" t="s">
        <v>69</v>
      </c>
      <c r="F3" s="161">
        <v>2020</v>
      </c>
      <c r="G3" s="161">
        <v>2019</v>
      </c>
      <c r="H3" s="163" t="s">
        <v>10</v>
      </c>
      <c r="I3" s="164"/>
    </row>
    <row r="4" spans="5:9" ht="15.75" thickBot="1" x14ac:dyDescent="0.3">
      <c r="E4" s="169"/>
      <c r="F4" s="162"/>
      <c r="G4" s="162"/>
      <c r="H4" s="3" t="s">
        <v>2</v>
      </c>
      <c r="I4" s="3" t="s">
        <v>3</v>
      </c>
    </row>
    <row r="5" spans="5:9" thickBot="1" x14ac:dyDescent="0.4">
      <c r="E5" s="4" t="s">
        <v>70</v>
      </c>
      <c r="F5" s="6">
        <v>0</v>
      </c>
      <c r="G5" s="6">
        <v>646295</v>
      </c>
      <c r="H5" s="27">
        <f t="shared" ref="H5" si="0">+F5-G5</f>
        <v>-646295</v>
      </c>
      <c r="I5" s="13">
        <f t="shared" ref="I5" si="1">((H5*100)/G5)/100</f>
        <v>-1</v>
      </c>
    </row>
    <row r="6" spans="5:9" thickBot="1" x14ac:dyDescent="0.4">
      <c r="E6" s="4" t="s">
        <v>71</v>
      </c>
      <c r="F6" s="6">
        <v>0</v>
      </c>
      <c r="G6" s="6">
        <v>174890</v>
      </c>
      <c r="H6" s="27">
        <f t="shared" ref="H6:H30" si="2">+F6-G6</f>
        <v>-174890</v>
      </c>
      <c r="I6" s="13">
        <f t="shared" ref="I6:I30" si="3">((H6*100)/G6)/100</f>
        <v>-1</v>
      </c>
    </row>
    <row r="7" spans="5:9" thickBot="1" x14ac:dyDescent="0.4">
      <c r="E7" s="4" t="s">
        <v>72</v>
      </c>
      <c r="F7" s="6">
        <v>135000</v>
      </c>
      <c r="G7" s="6">
        <v>223000</v>
      </c>
      <c r="H7" s="27">
        <f t="shared" si="2"/>
        <v>-88000</v>
      </c>
      <c r="I7" s="13">
        <f t="shared" si="3"/>
        <v>-0.39461883408071752</v>
      </c>
    </row>
    <row r="8" spans="5:9" thickBot="1" x14ac:dyDescent="0.4">
      <c r="E8" s="4" t="s">
        <v>73</v>
      </c>
      <c r="F8" s="6">
        <v>63699.67</v>
      </c>
      <c r="G8" s="6">
        <v>195200</v>
      </c>
      <c r="H8" s="27">
        <f t="shared" si="2"/>
        <v>-131500.33000000002</v>
      </c>
      <c r="I8" s="13">
        <f t="shared" si="3"/>
        <v>-0.67366972336065589</v>
      </c>
    </row>
    <row r="9" spans="5:9" thickBot="1" x14ac:dyDescent="0.4">
      <c r="E9" s="4" t="s">
        <v>74</v>
      </c>
      <c r="F9" s="6">
        <v>0</v>
      </c>
      <c r="G9" s="6">
        <v>20503</v>
      </c>
      <c r="H9" s="27">
        <f t="shared" si="2"/>
        <v>-20503</v>
      </c>
      <c r="I9" s="13">
        <f t="shared" si="3"/>
        <v>-1</v>
      </c>
    </row>
    <row r="10" spans="5:9" thickBot="1" x14ac:dyDescent="0.4">
      <c r="E10" s="4" t="s">
        <v>75</v>
      </c>
      <c r="F10" s="6">
        <v>738351.96</v>
      </c>
      <c r="G10" s="6">
        <v>1548133</v>
      </c>
      <c r="H10" s="27">
        <f t="shared" si="2"/>
        <v>-809781.04</v>
      </c>
      <c r="I10" s="13">
        <f t="shared" si="3"/>
        <v>-0.52306942620562968</v>
      </c>
    </row>
    <row r="11" spans="5:9" thickBot="1" x14ac:dyDescent="0.4">
      <c r="E11" s="4" t="s">
        <v>76</v>
      </c>
      <c r="F11" s="6">
        <v>149167.39000000001</v>
      </c>
      <c r="G11" s="6">
        <v>341813</v>
      </c>
      <c r="H11" s="27">
        <f t="shared" si="2"/>
        <v>-192645.61</v>
      </c>
      <c r="I11" s="13">
        <f t="shared" si="3"/>
        <v>-0.56359942424659093</v>
      </c>
    </row>
    <row r="12" spans="5:9" thickBot="1" x14ac:dyDescent="0.4">
      <c r="E12" s="4" t="s">
        <v>77</v>
      </c>
      <c r="F12" s="6">
        <v>540762.31000000006</v>
      </c>
      <c r="G12" s="6">
        <v>1498483</v>
      </c>
      <c r="H12" s="27">
        <f t="shared" si="2"/>
        <v>-957720.69</v>
      </c>
      <c r="I12" s="13">
        <f t="shared" si="3"/>
        <v>-0.63912683026767736</v>
      </c>
    </row>
    <row r="13" spans="5:9" thickBot="1" x14ac:dyDescent="0.4">
      <c r="E13" s="4" t="s">
        <v>78</v>
      </c>
      <c r="F13" s="6">
        <v>55147.92</v>
      </c>
      <c r="G13" s="6">
        <v>131365</v>
      </c>
      <c r="H13" s="27">
        <f t="shared" si="2"/>
        <v>-76217.08</v>
      </c>
      <c r="I13" s="13">
        <f t="shared" si="3"/>
        <v>-0.58019320214669046</v>
      </c>
    </row>
    <row r="14" spans="5:9" thickBot="1" x14ac:dyDescent="0.4">
      <c r="E14" s="4" t="s">
        <v>79</v>
      </c>
      <c r="F14" s="6">
        <v>110365.53</v>
      </c>
      <c r="G14" s="6">
        <v>403299</v>
      </c>
      <c r="H14" s="27">
        <f t="shared" si="2"/>
        <v>-292933.46999999997</v>
      </c>
      <c r="I14" s="13">
        <f t="shared" si="3"/>
        <v>-0.72634315978963482</v>
      </c>
    </row>
    <row r="15" spans="5:9" thickBot="1" x14ac:dyDescent="0.4">
      <c r="E15" s="4" t="s">
        <v>80</v>
      </c>
      <c r="F15" s="6">
        <v>23488.560000000001</v>
      </c>
      <c r="G15" s="6">
        <v>97380</v>
      </c>
      <c r="H15" s="27">
        <f t="shared" si="2"/>
        <v>-73891.44</v>
      </c>
      <c r="I15" s="13">
        <f t="shared" si="3"/>
        <v>-0.7587948243992606</v>
      </c>
    </row>
    <row r="16" spans="5:9" thickBot="1" x14ac:dyDescent="0.4">
      <c r="E16" s="4" t="s">
        <v>81</v>
      </c>
      <c r="F16" s="6">
        <v>3526.47</v>
      </c>
      <c r="G16" s="6">
        <v>5886</v>
      </c>
      <c r="H16" s="27">
        <f t="shared" si="2"/>
        <v>-2359.5300000000002</v>
      </c>
      <c r="I16" s="13">
        <f t="shared" si="3"/>
        <v>-0.40087155963302756</v>
      </c>
    </row>
    <row r="17" spans="5:9" thickBot="1" x14ac:dyDescent="0.4">
      <c r="E17" s="4" t="s">
        <v>82</v>
      </c>
      <c r="F17" s="6">
        <v>4200</v>
      </c>
      <c r="G17" s="6">
        <v>0</v>
      </c>
      <c r="H17" s="27">
        <f t="shared" si="2"/>
        <v>4200</v>
      </c>
      <c r="I17" s="13">
        <v>1</v>
      </c>
    </row>
    <row r="18" spans="5:9" thickBot="1" x14ac:dyDescent="0.4">
      <c r="E18" s="4" t="s">
        <v>83</v>
      </c>
      <c r="F18" s="6">
        <v>4600</v>
      </c>
      <c r="G18" s="6">
        <v>16800</v>
      </c>
      <c r="H18" s="27">
        <f t="shared" si="2"/>
        <v>-12200</v>
      </c>
      <c r="I18" s="13">
        <f t="shared" si="3"/>
        <v>-0.72619047619047616</v>
      </c>
    </row>
    <row r="19" spans="5:9" thickBot="1" x14ac:dyDescent="0.4">
      <c r="E19" s="4" t="s">
        <v>84</v>
      </c>
      <c r="F19" s="6">
        <v>10512.3</v>
      </c>
      <c r="G19" s="6">
        <v>9315</v>
      </c>
      <c r="H19" s="27">
        <f t="shared" si="2"/>
        <v>1197.2999999999993</v>
      </c>
      <c r="I19" s="13">
        <f t="shared" si="3"/>
        <v>0.12853462157809975</v>
      </c>
    </row>
    <row r="20" spans="5:9" thickBot="1" x14ac:dyDescent="0.4">
      <c r="E20" s="4" t="s">
        <v>85</v>
      </c>
      <c r="F20" s="6">
        <v>10700</v>
      </c>
      <c r="G20" s="6">
        <v>21950</v>
      </c>
      <c r="H20" s="27">
        <f t="shared" si="2"/>
        <v>-11250</v>
      </c>
      <c r="I20" s="13">
        <f t="shared" si="3"/>
        <v>-0.51252847380410027</v>
      </c>
    </row>
    <row r="21" spans="5:9" thickBot="1" x14ac:dyDescent="0.4">
      <c r="E21" s="4" t="s">
        <v>86</v>
      </c>
      <c r="F21" s="6">
        <v>58347</v>
      </c>
      <c r="G21" s="6">
        <v>82793</v>
      </c>
      <c r="H21" s="27">
        <f t="shared" si="2"/>
        <v>-24446</v>
      </c>
      <c r="I21" s="13">
        <f t="shared" si="3"/>
        <v>-0.29526650803811916</v>
      </c>
    </row>
    <row r="22" spans="5:9" thickBot="1" x14ac:dyDescent="0.4">
      <c r="E22" s="4" t="s">
        <v>87</v>
      </c>
      <c r="F22" s="6">
        <v>18339.71</v>
      </c>
      <c r="G22" s="6">
        <v>172736</v>
      </c>
      <c r="H22" s="27">
        <f t="shared" si="2"/>
        <v>-154396.29</v>
      </c>
      <c r="I22" s="13">
        <f t="shared" si="3"/>
        <v>-0.89382809605409408</v>
      </c>
    </row>
    <row r="23" spans="5:9" thickBot="1" x14ac:dyDescent="0.4">
      <c r="E23" s="4" t="s">
        <v>88</v>
      </c>
      <c r="F23" s="6">
        <v>2243</v>
      </c>
      <c r="G23" s="6">
        <v>35041</v>
      </c>
      <c r="H23" s="27">
        <f t="shared" si="2"/>
        <v>-32798</v>
      </c>
      <c r="I23" s="13">
        <f t="shared" si="3"/>
        <v>-0.93598926971262231</v>
      </c>
    </row>
    <row r="24" spans="5:9" thickBot="1" x14ac:dyDescent="0.4">
      <c r="E24" s="35" t="s">
        <v>89</v>
      </c>
      <c r="F24" s="36">
        <v>10426.49</v>
      </c>
      <c r="G24" s="6">
        <v>3861</v>
      </c>
      <c r="H24" s="27">
        <f t="shared" si="2"/>
        <v>6565.49</v>
      </c>
      <c r="I24" s="13">
        <f t="shared" si="3"/>
        <v>1.7004636104636106</v>
      </c>
    </row>
    <row r="25" spans="5:9" thickBot="1" x14ac:dyDescent="0.4">
      <c r="E25" s="39" t="s">
        <v>91</v>
      </c>
      <c r="F25" s="40">
        <v>48021.9</v>
      </c>
      <c r="G25" s="6">
        <v>0</v>
      </c>
      <c r="H25" s="27">
        <f t="shared" ref="H25" si="4">+F25-G25</f>
        <v>48021.9</v>
      </c>
      <c r="I25" s="13">
        <v>1</v>
      </c>
    </row>
    <row r="26" spans="5:9" thickBot="1" x14ac:dyDescent="0.4">
      <c r="E26" s="39" t="s">
        <v>92</v>
      </c>
      <c r="F26" s="40">
        <v>23292.36</v>
      </c>
      <c r="G26" s="6">
        <v>0</v>
      </c>
      <c r="H26" s="27">
        <f t="shared" ref="H26" si="5">+F26-G26</f>
        <v>23292.36</v>
      </c>
      <c r="I26" s="13">
        <v>1</v>
      </c>
    </row>
    <row r="27" spans="5:9" thickBot="1" x14ac:dyDescent="0.4">
      <c r="E27" s="39" t="s">
        <v>93</v>
      </c>
      <c r="F27" s="40">
        <v>38636.75</v>
      </c>
      <c r="G27" s="6">
        <v>0</v>
      </c>
      <c r="H27" s="27">
        <f t="shared" ref="H27" si="6">+F27-G27</f>
        <v>38636.75</v>
      </c>
      <c r="I27" s="13">
        <v>1</v>
      </c>
    </row>
    <row r="28" spans="5:9" thickBot="1" x14ac:dyDescent="0.4">
      <c r="E28" s="39" t="s">
        <v>94</v>
      </c>
      <c r="F28" s="40">
        <v>46282.09</v>
      </c>
      <c r="G28" s="6">
        <v>0</v>
      </c>
      <c r="H28" s="27">
        <f t="shared" ref="H28" si="7">+F28-G28</f>
        <v>46282.09</v>
      </c>
      <c r="I28" s="13">
        <v>1</v>
      </c>
    </row>
    <row r="29" spans="5:9" thickBot="1" x14ac:dyDescent="0.4">
      <c r="E29" s="35" t="s">
        <v>90</v>
      </c>
      <c r="F29" s="36">
        <v>0</v>
      </c>
      <c r="G29" s="36">
        <v>12691</v>
      </c>
      <c r="H29" s="27">
        <f t="shared" si="2"/>
        <v>-12691</v>
      </c>
      <c r="I29" s="13">
        <f t="shared" si="3"/>
        <v>-1</v>
      </c>
    </row>
    <row r="30" spans="5:9" thickBot="1" x14ac:dyDescent="0.4">
      <c r="E30" s="37" t="s">
        <v>16</v>
      </c>
      <c r="F30" s="38">
        <f>SUM(F5:F29)</f>
        <v>2095111.4100000001</v>
      </c>
      <c r="G30" s="38">
        <f>SUM(G5:G29)</f>
        <v>5641434</v>
      </c>
      <c r="H30" s="26">
        <f t="shared" si="2"/>
        <v>-3546322.59</v>
      </c>
      <c r="I30" s="14">
        <f t="shared" si="3"/>
        <v>-0.62862077088910373</v>
      </c>
    </row>
  </sheetData>
  <mergeCells count="4">
    <mergeCell ref="E3:E4"/>
    <mergeCell ref="F3:F4"/>
    <mergeCell ref="G3:G4"/>
    <mergeCell ref="H3:I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54"/>
  <sheetViews>
    <sheetView workbookViewId="0">
      <selection activeCell="F3" sqref="F3:J51"/>
    </sheetView>
  </sheetViews>
  <sheetFormatPr defaultRowHeight="15" x14ac:dyDescent="0.25"/>
  <cols>
    <col min="6" max="6" width="48.85546875" customWidth="1"/>
    <col min="7" max="8" width="9.42578125" bestFit="1" customWidth="1"/>
    <col min="9" max="9" width="8.85546875" bestFit="1" customWidth="1"/>
  </cols>
  <sheetData>
    <row r="2" spans="6:10" thickBot="1" x14ac:dyDescent="0.4"/>
    <row r="3" spans="6:10" ht="15.75" thickBot="1" x14ac:dyDescent="0.3">
      <c r="F3" s="168" t="s">
        <v>95</v>
      </c>
      <c r="G3" s="161">
        <v>2020</v>
      </c>
      <c r="H3" s="161">
        <v>2019</v>
      </c>
      <c r="I3" s="163" t="s">
        <v>10</v>
      </c>
      <c r="J3" s="164"/>
    </row>
    <row r="4" spans="6:10" ht="15.75" thickBot="1" x14ac:dyDescent="0.3">
      <c r="F4" s="169"/>
      <c r="G4" s="162"/>
      <c r="H4" s="162"/>
      <c r="I4" s="3" t="s">
        <v>2</v>
      </c>
      <c r="J4" s="3" t="s">
        <v>3</v>
      </c>
    </row>
    <row r="5" spans="6:10" thickBot="1" x14ac:dyDescent="0.4">
      <c r="F5" s="4" t="s">
        <v>96</v>
      </c>
      <c r="G5" s="11">
        <v>111398.62</v>
      </c>
      <c r="H5" s="11">
        <v>152292</v>
      </c>
      <c r="I5" s="27">
        <f t="shared" ref="I5" si="0">+G5-H5</f>
        <v>-40893.380000000005</v>
      </c>
      <c r="J5" s="13">
        <f t="shared" ref="J5" si="1">((I5*100)/H5)/100</f>
        <v>-0.26851955453996273</v>
      </c>
    </row>
    <row r="6" spans="6:10" thickBot="1" x14ac:dyDescent="0.4">
      <c r="F6" s="4" t="s">
        <v>97</v>
      </c>
      <c r="G6" s="11">
        <v>10228.879999999999</v>
      </c>
      <c r="H6" s="11">
        <v>10940</v>
      </c>
      <c r="I6" s="27">
        <f t="shared" ref="I6:I51" si="2">+G6-H6</f>
        <v>-711.1200000000008</v>
      </c>
      <c r="J6" s="13">
        <f t="shared" ref="J6:J51" si="3">((I6*100)/H6)/100</f>
        <v>-6.5001828153564978E-2</v>
      </c>
    </row>
    <row r="7" spans="6:10" thickBot="1" x14ac:dyDescent="0.4">
      <c r="F7" s="4" t="s">
        <v>98</v>
      </c>
      <c r="G7" s="11">
        <v>5170.4399999999996</v>
      </c>
      <c r="H7" s="11">
        <v>7006</v>
      </c>
      <c r="I7" s="27">
        <f t="shared" si="2"/>
        <v>-1835.5600000000004</v>
      </c>
      <c r="J7" s="13">
        <f t="shared" si="3"/>
        <v>-0.26199828718241513</v>
      </c>
    </row>
    <row r="8" spans="6:10" thickBot="1" x14ac:dyDescent="0.4">
      <c r="F8" s="4" t="s">
        <v>99</v>
      </c>
      <c r="G8" s="11">
        <v>37589.339999999997</v>
      </c>
      <c r="H8" s="11">
        <v>29067</v>
      </c>
      <c r="I8" s="27">
        <f t="shared" si="2"/>
        <v>8522.3399999999965</v>
      </c>
      <c r="J8" s="13">
        <f t="shared" si="3"/>
        <v>0.29319640829806987</v>
      </c>
    </row>
    <row r="9" spans="6:10" thickBot="1" x14ac:dyDescent="0.4">
      <c r="F9" s="4" t="s">
        <v>100</v>
      </c>
      <c r="G9" s="11">
        <v>301692.07</v>
      </c>
      <c r="H9" s="11">
        <v>343957</v>
      </c>
      <c r="I9" s="27">
        <f t="shared" si="2"/>
        <v>-42264.929999999993</v>
      </c>
      <c r="J9" s="13">
        <f t="shared" si="3"/>
        <v>-0.12287852842070372</v>
      </c>
    </row>
    <row r="10" spans="6:10" thickBot="1" x14ac:dyDescent="0.4">
      <c r="F10" s="4" t="s">
        <v>101</v>
      </c>
      <c r="G10" s="11">
        <v>150919.56</v>
      </c>
      <c r="H10" s="11">
        <v>178499</v>
      </c>
      <c r="I10" s="27">
        <f t="shared" si="2"/>
        <v>-27579.440000000002</v>
      </c>
      <c r="J10" s="13">
        <f t="shared" si="3"/>
        <v>-0.15450753225508268</v>
      </c>
    </row>
    <row r="11" spans="6:10" thickBot="1" x14ac:dyDescent="0.4">
      <c r="F11" s="4" t="s">
        <v>129</v>
      </c>
      <c r="G11" s="11">
        <v>11930</v>
      </c>
      <c r="H11" s="11">
        <v>0</v>
      </c>
      <c r="I11" s="27">
        <f t="shared" ref="I11:I12" si="4">+G11-H11</f>
        <v>11930</v>
      </c>
      <c r="J11" s="13">
        <v>1</v>
      </c>
    </row>
    <row r="12" spans="6:10" thickBot="1" x14ac:dyDescent="0.4">
      <c r="F12" s="4" t="s">
        <v>130</v>
      </c>
      <c r="G12" s="11">
        <v>49810.55</v>
      </c>
      <c r="H12" s="11">
        <v>0</v>
      </c>
      <c r="I12" s="27">
        <f t="shared" si="4"/>
        <v>49810.55</v>
      </c>
      <c r="J12" s="13">
        <v>1</v>
      </c>
    </row>
    <row r="13" spans="6:10" thickBot="1" x14ac:dyDescent="0.4">
      <c r="F13" s="4" t="s">
        <v>102</v>
      </c>
      <c r="G13" s="11">
        <v>2536.14</v>
      </c>
      <c r="H13" s="11">
        <v>7192</v>
      </c>
      <c r="I13" s="27">
        <f t="shared" si="2"/>
        <v>-4655.8600000000006</v>
      </c>
      <c r="J13" s="13">
        <f t="shared" si="3"/>
        <v>-0.64736651835372638</v>
      </c>
    </row>
    <row r="14" spans="6:10" thickBot="1" x14ac:dyDescent="0.4">
      <c r="F14" s="4" t="s">
        <v>103</v>
      </c>
      <c r="G14" s="11">
        <v>38720.230000000003</v>
      </c>
      <c r="H14" s="11">
        <v>8203</v>
      </c>
      <c r="I14" s="27">
        <f t="shared" si="2"/>
        <v>30517.230000000003</v>
      </c>
      <c r="J14" s="13">
        <f t="shared" si="3"/>
        <v>3.7202523467024262</v>
      </c>
    </row>
    <row r="15" spans="6:10" thickBot="1" x14ac:dyDescent="0.4">
      <c r="F15" s="4" t="s">
        <v>104</v>
      </c>
      <c r="G15" s="11">
        <v>5818.51</v>
      </c>
      <c r="H15" s="11">
        <v>7244</v>
      </c>
      <c r="I15" s="27">
        <f t="shared" si="2"/>
        <v>-1425.4899999999998</v>
      </c>
      <c r="J15" s="13">
        <f t="shared" si="3"/>
        <v>-0.19678216454997233</v>
      </c>
    </row>
    <row r="16" spans="6:10" thickBot="1" x14ac:dyDescent="0.4">
      <c r="F16" s="4" t="s">
        <v>105</v>
      </c>
      <c r="G16" s="11">
        <v>2908.9</v>
      </c>
      <c r="H16" s="11">
        <v>3351</v>
      </c>
      <c r="I16" s="27">
        <f t="shared" si="2"/>
        <v>-442.09999999999991</v>
      </c>
      <c r="J16" s="13">
        <f t="shared" si="3"/>
        <v>-0.13193076693524319</v>
      </c>
    </row>
    <row r="17" spans="6:10" thickBot="1" x14ac:dyDescent="0.4">
      <c r="F17" s="4" t="s">
        <v>106</v>
      </c>
      <c r="G17" s="11">
        <v>356.35</v>
      </c>
      <c r="H17" s="11">
        <v>2145</v>
      </c>
      <c r="I17" s="27">
        <f t="shared" si="2"/>
        <v>-1788.65</v>
      </c>
      <c r="J17" s="13">
        <f t="shared" si="3"/>
        <v>-0.83386946386946392</v>
      </c>
    </row>
    <row r="18" spans="6:10" thickBot="1" x14ac:dyDescent="0.4">
      <c r="F18" s="4" t="s">
        <v>107</v>
      </c>
      <c r="G18" s="11">
        <v>1509</v>
      </c>
      <c r="H18" s="11">
        <v>10689</v>
      </c>
      <c r="I18" s="27">
        <f t="shared" si="2"/>
        <v>-9180</v>
      </c>
      <c r="J18" s="13">
        <f t="shared" si="3"/>
        <v>-0.85882683132191973</v>
      </c>
    </row>
    <row r="19" spans="6:10" thickBot="1" x14ac:dyDescent="0.4">
      <c r="F19" s="4" t="s">
        <v>108</v>
      </c>
      <c r="G19" s="11">
        <v>28119</v>
      </c>
      <c r="H19" s="11">
        <v>11415</v>
      </c>
      <c r="I19" s="27">
        <f t="shared" si="2"/>
        <v>16704</v>
      </c>
      <c r="J19" s="13">
        <f t="shared" si="3"/>
        <v>1.4633377135348227</v>
      </c>
    </row>
    <row r="20" spans="6:10" thickBot="1" x14ac:dyDescent="0.4">
      <c r="F20" s="4" t="s">
        <v>109</v>
      </c>
      <c r="G20" s="11">
        <v>55076.4</v>
      </c>
      <c r="H20" s="11">
        <v>13815</v>
      </c>
      <c r="I20" s="27">
        <f t="shared" si="2"/>
        <v>41261.4</v>
      </c>
      <c r="J20" s="13">
        <f t="shared" si="3"/>
        <v>2.9867100977198699</v>
      </c>
    </row>
    <row r="21" spans="6:10" thickBot="1" x14ac:dyDescent="0.4">
      <c r="F21" s="4" t="s">
        <v>110</v>
      </c>
      <c r="G21" s="11">
        <v>29690.44</v>
      </c>
      <c r="H21" s="11">
        <v>27003</v>
      </c>
      <c r="I21" s="27">
        <f t="shared" si="2"/>
        <v>2687.4399999999987</v>
      </c>
      <c r="J21" s="13">
        <f t="shared" si="3"/>
        <v>9.9523756619634807E-2</v>
      </c>
    </row>
    <row r="22" spans="6:10" thickBot="1" x14ac:dyDescent="0.4">
      <c r="F22" s="4" t="s">
        <v>111</v>
      </c>
      <c r="G22" s="11">
        <v>1085</v>
      </c>
      <c r="H22" s="11">
        <v>15007</v>
      </c>
      <c r="I22" s="27">
        <f t="shared" si="2"/>
        <v>-13922</v>
      </c>
      <c r="J22" s="13">
        <f t="shared" si="3"/>
        <v>-0.92770040647697738</v>
      </c>
    </row>
    <row r="23" spans="6:10" thickBot="1" x14ac:dyDescent="0.4">
      <c r="F23" s="4" t="s">
        <v>112</v>
      </c>
      <c r="G23" s="11">
        <v>16629</v>
      </c>
      <c r="H23" s="11">
        <v>16629</v>
      </c>
      <c r="I23" s="27">
        <f t="shared" si="2"/>
        <v>0</v>
      </c>
      <c r="J23" s="13">
        <f t="shared" si="3"/>
        <v>0</v>
      </c>
    </row>
    <row r="24" spans="6:10" thickBot="1" x14ac:dyDescent="0.4">
      <c r="F24" s="4" t="s">
        <v>113</v>
      </c>
      <c r="G24" s="11">
        <v>398.72</v>
      </c>
      <c r="H24" s="11">
        <v>125</v>
      </c>
      <c r="I24" s="27">
        <f t="shared" si="2"/>
        <v>273.72000000000003</v>
      </c>
      <c r="J24" s="13">
        <f t="shared" si="3"/>
        <v>2.1897600000000002</v>
      </c>
    </row>
    <row r="25" spans="6:10" thickBot="1" x14ac:dyDescent="0.4">
      <c r="F25" s="4" t="s">
        <v>140</v>
      </c>
      <c r="G25" s="11">
        <v>6250</v>
      </c>
      <c r="H25" s="11">
        <v>0</v>
      </c>
      <c r="I25" s="27">
        <f t="shared" ref="I25" si="5">+G25-H25</f>
        <v>6250</v>
      </c>
      <c r="J25" s="13">
        <v>1</v>
      </c>
    </row>
    <row r="26" spans="6:10" thickBot="1" x14ac:dyDescent="0.4">
      <c r="F26" s="4" t="s">
        <v>114</v>
      </c>
      <c r="G26" s="11">
        <v>12945.62</v>
      </c>
      <c r="H26" s="11">
        <v>16997</v>
      </c>
      <c r="I26" s="27">
        <f t="shared" si="2"/>
        <v>-4051.3799999999992</v>
      </c>
      <c r="J26" s="13">
        <f t="shared" si="3"/>
        <v>-0.23835853385891625</v>
      </c>
    </row>
    <row r="27" spans="6:10" thickBot="1" x14ac:dyDescent="0.4">
      <c r="F27" s="4" t="s">
        <v>115</v>
      </c>
      <c r="G27" s="11">
        <v>68010.960000000006</v>
      </c>
      <c r="H27" s="11">
        <v>219950</v>
      </c>
      <c r="I27" s="27">
        <f t="shared" si="2"/>
        <v>-151939.03999999998</v>
      </c>
      <c r="J27" s="13">
        <f t="shared" si="3"/>
        <v>-0.69078899749943157</v>
      </c>
    </row>
    <row r="28" spans="6:10" thickBot="1" x14ac:dyDescent="0.4">
      <c r="F28" s="4" t="s">
        <v>116</v>
      </c>
      <c r="G28" s="11">
        <v>238066.43</v>
      </c>
      <c r="H28" s="11">
        <v>203631</v>
      </c>
      <c r="I28" s="27">
        <f t="shared" si="2"/>
        <v>34435.429999999993</v>
      </c>
      <c r="J28" s="13">
        <f t="shared" si="3"/>
        <v>0.1691070121936247</v>
      </c>
    </row>
    <row r="29" spans="6:10" thickBot="1" x14ac:dyDescent="0.4">
      <c r="F29" s="4" t="s">
        <v>117</v>
      </c>
      <c r="G29" s="11">
        <v>32000</v>
      </c>
      <c r="H29" s="11">
        <v>18469</v>
      </c>
      <c r="I29" s="27">
        <f t="shared" si="2"/>
        <v>13531</v>
      </c>
      <c r="J29" s="13">
        <f t="shared" si="3"/>
        <v>0.73263306080459145</v>
      </c>
    </row>
    <row r="30" spans="6:10" thickBot="1" x14ac:dyDescent="0.4">
      <c r="F30" s="4" t="s">
        <v>118</v>
      </c>
      <c r="G30" s="11">
        <v>22099.61</v>
      </c>
      <c r="H30" s="11">
        <v>56591</v>
      </c>
      <c r="I30" s="27">
        <f t="shared" si="2"/>
        <v>-34491.39</v>
      </c>
      <c r="J30" s="13">
        <f t="shared" si="3"/>
        <v>-0.60948543054549309</v>
      </c>
    </row>
    <row r="31" spans="6:10" thickBot="1" x14ac:dyDescent="0.4">
      <c r="F31" s="4" t="s">
        <v>131</v>
      </c>
      <c r="G31" s="11">
        <v>195</v>
      </c>
      <c r="H31" s="11">
        <v>0</v>
      </c>
      <c r="I31" s="27">
        <f t="shared" si="2"/>
        <v>195</v>
      </c>
      <c r="J31" s="13">
        <v>1</v>
      </c>
    </row>
    <row r="32" spans="6:10" ht="15.75" thickBot="1" x14ac:dyDescent="0.3">
      <c r="F32" s="4" t="s">
        <v>119</v>
      </c>
      <c r="G32" s="11">
        <v>0</v>
      </c>
      <c r="H32" s="11">
        <v>113</v>
      </c>
      <c r="I32" s="27">
        <f t="shared" si="2"/>
        <v>-113</v>
      </c>
      <c r="J32" s="13">
        <f t="shared" si="3"/>
        <v>-1</v>
      </c>
    </row>
    <row r="33" spans="6:10" ht="15.75" thickBot="1" x14ac:dyDescent="0.3">
      <c r="F33" s="4" t="s">
        <v>120</v>
      </c>
      <c r="G33" s="11">
        <v>8300</v>
      </c>
      <c r="H33" s="11">
        <v>8300</v>
      </c>
      <c r="I33" s="27">
        <f t="shared" si="2"/>
        <v>0</v>
      </c>
      <c r="J33" s="13">
        <f t="shared" si="3"/>
        <v>0</v>
      </c>
    </row>
    <row r="34" spans="6:10" ht="15.75" thickBot="1" x14ac:dyDescent="0.3">
      <c r="F34" s="4" t="s">
        <v>121</v>
      </c>
      <c r="G34" s="11">
        <v>18293.080000000002</v>
      </c>
      <c r="H34" s="11">
        <v>21162</v>
      </c>
      <c r="I34" s="27">
        <f t="shared" si="2"/>
        <v>-2868.9199999999983</v>
      </c>
      <c r="J34" s="13">
        <f t="shared" si="3"/>
        <v>-0.1355694168793119</v>
      </c>
    </row>
    <row r="35" spans="6:10" ht="15.75" thickBot="1" x14ac:dyDescent="0.3">
      <c r="F35" s="4" t="s">
        <v>122</v>
      </c>
      <c r="G35" s="11">
        <v>34562.519999999997</v>
      </c>
      <c r="H35" s="11">
        <v>39327</v>
      </c>
      <c r="I35" s="27">
        <f t="shared" si="2"/>
        <v>-4764.4800000000032</v>
      </c>
      <c r="J35" s="13">
        <f t="shared" si="3"/>
        <v>-0.12115035471813267</v>
      </c>
    </row>
    <row r="36" spans="6:10" ht="15.75" thickBot="1" x14ac:dyDescent="0.3">
      <c r="F36" s="4" t="s">
        <v>132</v>
      </c>
      <c r="G36" s="11">
        <v>1264.55</v>
      </c>
      <c r="H36" s="11">
        <v>0</v>
      </c>
      <c r="I36" s="27">
        <f t="shared" si="2"/>
        <v>1264.55</v>
      </c>
      <c r="J36" s="13">
        <v>1</v>
      </c>
    </row>
    <row r="37" spans="6:10" ht="15.75" thickBot="1" x14ac:dyDescent="0.3">
      <c r="F37" s="4" t="s">
        <v>133</v>
      </c>
      <c r="G37" s="11">
        <v>106040</v>
      </c>
      <c r="H37" s="11">
        <v>0</v>
      </c>
      <c r="I37" s="27">
        <f t="shared" ref="I37:I38" si="6">+G37-H37</f>
        <v>106040</v>
      </c>
      <c r="J37" s="13">
        <v>1</v>
      </c>
    </row>
    <row r="38" spans="6:10" ht="15.75" thickBot="1" x14ac:dyDescent="0.3">
      <c r="F38" s="4" t="s">
        <v>134</v>
      </c>
      <c r="G38" s="11">
        <v>1622.4</v>
      </c>
      <c r="H38" s="11">
        <v>0</v>
      </c>
      <c r="I38" s="27">
        <f t="shared" si="6"/>
        <v>1622.4</v>
      </c>
      <c r="J38" s="13">
        <v>1</v>
      </c>
    </row>
    <row r="39" spans="6:10" ht="15.75" thickBot="1" x14ac:dyDescent="0.3">
      <c r="F39" s="4" t="s">
        <v>135</v>
      </c>
      <c r="G39" s="11">
        <v>5449.36</v>
      </c>
      <c r="H39" s="11">
        <v>39077</v>
      </c>
      <c r="I39" s="27">
        <f t="shared" si="2"/>
        <v>-33627.64</v>
      </c>
      <c r="J39" s="13">
        <f t="shared" si="3"/>
        <v>-0.86054814852726669</v>
      </c>
    </row>
    <row r="40" spans="6:10" ht="15.75" thickBot="1" x14ac:dyDescent="0.3">
      <c r="F40" s="4" t="s">
        <v>123</v>
      </c>
      <c r="G40" s="11">
        <v>0</v>
      </c>
      <c r="H40" s="11">
        <v>3979</v>
      </c>
      <c r="I40" s="27">
        <f t="shared" si="2"/>
        <v>-3979</v>
      </c>
      <c r="J40" s="13">
        <f t="shared" si="3"/>
        <v>-1</v>
      </c>
    </row>
    <row r="41" spans="6:10" ht="15.75" thickBot="1" x14ac:dyDescent="0.3">
      <c r="F41" s="4" t="s">
        <v>124</v>
      </c>
      <c r="G41" s="11">
        <v>118717.26</v>
      </c>
      <c r="H41" s="11">
        <v>210173</v>
      </c>
      <c r="I41" s="27">
        <f t="shared" si="2"/>
        <v>-91455.74</v>
      </c>
      <c r="J41" s="13">
        <f t="shared" si="3"/>
        <v>-0.43514504717542218</v>
      </c>
    </row>
    <row r="42" spans="6:10" ht="15.75" thickBot="1" x14ac:dyDescent="0.3">
      <c r="F42" s="4" t="s">
        <v>136</v>
      </c>
      <c r="G42" s="11">
        <v>12458.99</v>
      </c>
      <c r="H42" s="11">
        <v>10060</v>
      </c>
      <c r="I42" s="27">
        <f t="shared" si="2"/>
        <v>2398.9899999999998</v>
      </c>
      <c r="J42" s="13">
        <f t="shared" si="3"/>
        <v>0.23846819085487073</v>
      </c>
    </row>
    <row r="43" spans="6:10" ht="15.75" thickBot="1" x14ac:dyDescent="0.3">
      <c r="F43" s="4" t="s">
        <v>137</v>
      </c>
      <c r="G43" s="11">
        <v>3219.44</v>
      </c>
      <c r="H43" s="11">
        <v>8286</v>
      </c>
      <c r="I43" s="27">
        <f t="shared" si="2"/>
        <v>-5066.5599999999995</v>
      </c>
      <c r="J43" s="13">
        <f t="shared" si="3"/>
        <v>-0.6114602944726043</v>
      </c>
    </row>
    <row r="44" spans="6:10" ht="15.75" thickBot="1" x14ac:dyDescent="0.3">
      <c r="F44" s="4" t="s">
        <v>125</v>
      </c>
      <c r="G44" s="11">
        <v>6323.41</v>
      </c>
      <c r="H44" s="11">
        <v>18993</v>
      </c>
      <c r="I44" s="27">
        <f t="shared" si="2"/>
        <v>-12669.59</v>
      </c>
      <c r="J44" s="13">
        <f t="shared" si="3"/>
        <v>-0.6670662875796346</v>
      </c>
    </row>
    <row r="45" spans="6:10" ht="15.75" thickBot="1" x14ac:dyDescent="0.3">
      <c r="F45" s="4" t="s">
        <v>126</v>
      </c>
      <c r="G45" s="11">
        <v>49140.5</v>
      </c>
      <c r="H45" s="11">
        <v>49521</v>
      </c>
      <c r="I45" s="27">
        <f t="shared" si="2"/>
        <v>-380.5</v>
      </c>
      <c r="J45" s="13">
        <f t="shared" si="3"/>
        <v>-7.6836089739706391E-3</v>
      </c>
    </row>
    <row r="46" spans="6:10" ht="15.75" thickBot="1" x14ac:dyDescent="0.3">
      <c r="F46" s="4" t="s">
        <v>92</v>
      </c>
      <c r="G46" s="11">
        <v>0</v>
      </c>
      <c r="H46" s="11">
        <v>35137</v>
      </c>
      <c r="I46" s="27">
        <f t="shared" si="2"/>
        <v>-35137</v>
      </c>
      <c r="J46" s="13">
        <f t="shared" si="3"/>
        <v>-1</v>
      </c>
    </row>
    <row r="47" spans="6:10" ht="15.75" thickBot="1" x14ac:dyDescent="0.3">
      <c r="F47" s="35" t="s">
        <v>127</v>
      </c>
      <c r="G47" s="43">
        <v>6527.38</v>
      </c>
      <c r="H47" s="43">
        <v>16396</v>
      </c>
      <c r="I47" s="45">
        <f t="shared" si="2"/>
        <v>-9868.619999999999</v>
      </c>
      <c r="J47" s="46">
        <f t="shared" si="3"/>
        <v>-0.60189192485972176</v>
      </c>
    </row>
    <row r="48" spans="6:10" ht="15.75" thickBot="1" x14ac:dyDescent="0.3">
      <c r="F48" s="39" t="s">
        <v>128</v>
      </c>
      <c r="G48" s="47">
        <v>3049.8</v>
      </c>
      <c r="H48" s="47">
        <v>3780</v>
      </c>
      <c r="I48" s="48">
        <f t="shared" ref="I48:I49" si="7">+G48-H48</f>
        <v>-730.19999999999982</v>
      </c>
      <c r="J48" s="49">
        <f t="shared" ref="J48" si="8">((I48*100)/H48)/100</f>
        <v>-0.19317460317460314</v>
      </c>
    </row>
    <row r="49" spans="6:10" ht="15.75" thickBot="1" x14ac:dyDescent="0.3">
      <c r="F49" s="4" t="s">
        <v>138</v>
      </c>
      <c r="G49" s="11">
        <v>2990</v>
      </c>
      <c r="H49" s="11">
        <v>0</v>
      </c>
      <c r="I49" s="27">
        <f t="shared" si="7"/>
        <v>2990</v>
      </c>
      <c r="J49" s="13">
        <v>1</v>
      </c>
    </row>
    <row r="50" spans="6:10" ht="15.75" thickBot="1" x14ac:dyDescent="0.3">
      <c r="F50" s="35" t="s">
        <v>139</v>
      </c>
      <c r="G50" s="43">
        <v>454.54</v>
      </c>
      <c r="H50" s="43">
        <v>0</v>
      </c>
      <c r="I50" s="27">
        <f t="shared" si="2"/>
        <v>454.54</v>
      </c>
      <c r="J50" s="13">
        <v>1</v>
      </c>
    </row>
    <row r="51" spans="6:10" ht="15.75" thickBot="1" x14ac:dyDescent="0.3">
      <c r="F51" s="37" t="s">
        <v>16</v>
      </c>
      <c r="G51" s="44">
        <f>SUM(G5:G50)</f>
        <v>1619568</v>
      </c>
      <c r="H51" s="44">
        <f>SUM(H5:H50)</f>
        <v>1824521</v>
      </c>
      <c r="I51" s="26">
        <f t="shared" si="2"/>
        <v>-204953</v>
      </c>
      <c r="J51" s="14">
        <f t="shared" si="3"/>
        <v>-0.112332497132124</v>
      </c>
    </row>
    <row r="53" spans="6:10" x14ac:dyDescent="0.25">
      <c r="G53" s="50">
        <v>1619568</v>
      </c>
    </row>
    <row r="54" spans="6:10" x14ac:dyDescent="0.25">
      <c r="G54" s="51">
        <f>+G53-G51</f>
        <v>0</v>
      </c>
    </row>
  </sheetData>
  <mergeCells count="4">
    <mergeCell ref="F3:F4"/>
    <mergeCell ref="G3:G4"/>
    <mergeCell ref="H3:H4"/>
    <mergeCell ref="I3:J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43"/>
  <sheetViews>
    <sheetView topLeftCell="A10" workbookViewId="0">
      <selection activeCell="E3" sqref="E3:I43"/>
    </sheetView>
  </sheetViews>
  <sheetFormatPr defaultRowHeight="15" x14ac:dyDescent="0.25"/>
  <cols>
    <col min="5" max="5" width="52.140625" bestFit="1" customWidth="1"/>
  </cols>
  <sheetData>
    <row r="2" spans="5:9" thickBot="1" x14ac:dyDescent="0.4"/>
    <row r="3" spans="5:9" ht="15.75" thickBot="1" x14ac:dyDescent="0.3">
      <c r="E3" s="168" t="s">
        <v>141</v>
      </c>
      <c r="F3" s="161">
        <v>2020</v>
      </c>
      <c r="G3" s="161">
        <v>2019</v>
      </c>
      <c r="H3" s="163" t="s">
        <v>10</v>
      </c>
      <c r="I3" s="164"/>
    </row>
    <row r="4" spans="5:9" ht="15.75" thickBot="1" x14ac:dyDescent="0.3">
      <c r="E4" s="169"/>
      <c r="F4" s="162"/>
      <c r="G4" s="162"/>
      <c r="H4" s="3" t="s">
        <v>2</v>
      </c>
      <c r="I4" s="3" t="s">
        <v>3</v>
      </c>
    </row>
    <row r="5" spans="5:9" thickBot="1" x14ac:dyDescent="0.4">
      <c r="E5" s="4" t="s">
        <v>142</v>
      </c>
      <c r="F5" s="6">
        <v>0</v>
      </c>
      <c r="G5" s="6">
        <v>2012</v>
      </c>
      <c r="H5" s="27">
        <f t="shared" ref="H5" si="0">+F5-G5</f>
        <v>-2012</v>
      </c>
      <c r="I5" s="13">
        <f t="shared" ref="I5" si="1">((H5*100)/G5)/100</f>
        <v>-1</v>
      </c>
    </row>
    <row r="6" spans="5:9" thickBot="1" x14ac:dyDescent="0.4">
      <c r="E6" s="4" t="s">
        <v>143</v>
      </c>
      <c r="F6" s="42">
        <v>0</v>
      </c>
      <c r="G6" s="42">
        <v>485</v>
      </c>
      <c r="H6" s="27">
        <f t="shared" ref="H6:H14" si="2">+F6-G6</f>
        <v>-485</v>
      </c>
      <c r="I6" s="13">
        <f t="shared" ref="I6:I14" si="3">((H6*100)/G6)/100</f>
        <v>-1</v>
      </c>
    </row>
    <row r="7" spans="5:9" thickBot="1" x14ac:dyDescent="0.4">
      <c r="E7" s="4" t="s">
        <v>144</v>
      </c>
      <c r="F7" s="6">
        <v>0</v>
      </c>
      <c r="G7" s="6">
        <v>24775</v>
      </c>
      <c r="H7" s="27">
        <f t="shared" si="2"/>
        <v>-24775</v>
      </c>
      <c r="I7" s="13">
        <f t="shared" si="3"/>
        <v>-1</v>
      </c>
    </row>
    <row r="8" spans="5:9" thickBot="1" x14ac:dyDescent="0.4">
      <c r="E8" s="4" t="s">
        <v>145</v>
      </c>
      <c r="F8" s="6">
        <v>54166.68</v>
      </c>
      <c r="G8" s="6">
        <v>50000</v>
      </c>
      <c r="H8" s="33">
        <f t="shared" si="2"/>
        <v>4166.68</v>
      </c>
      <c r="I8" s="25">
        <f t="shared" si="3"/>
        <v>8.3333600000000008E-2</v>
      </c>
    </row>
    <row r="9" spans="5:9" thickBot="1" x14ac:dyDescent="0.4">
      <c r="E9" s="4" t="s">
        <v>146</v>
      </c>
      <c r="F9" s="6">
        <v>16023.02</v>
      </c>
      <c r="G9" s="6">
        <v>15007</v>
      </c>
      <c r="H9" s="33">
        <f t="shared" si="2"/>
        <v>1016.0200000000004</v>
      </c>
      <c r="I9" s="25">
        <f t="shared" si="3"/>
        <v>6.7703071899780129E-2</v>
      </c>
    </row>
    <row r="10" spans="5:9" thickBot="1" x14ac:dyDescent="0.4">
      <c r="E10" s="4" t="s">
        <v>147</v>
      </c>
      <c r="F10" s="6">
        <v>12000</v>
      </c>
      <c r="G10" s="6">
        <v>11900</v>
      </c>
      <c r="H10" s="33">
        <f t="shared" si="2"/>
        <v>100</v>
      </c>
      <c r="I10" s="25">
        <f t="shared" si="3"/>
        <v>8.4033613445378148E-3</v>
      </c>
    </row>
    <row r="11" spans="5:9" thickBot="1" x14ac:dyDescent="0.4">
      <c r="E11" s="4" t="s">
        <v>148</v>
      </c>
      <c r="F11" s="6">
        <v>54166.68</v>
      </c>
      <c r="G11" s="6">
        <v>51280</v>
      </c>
      <c r="H11" s="33">
        <f t="shared" si="2"/>
        <v>2886.6800000000003</v>
      </c>
      <c r="I11" s="25">
        <f t="shared" si="3"/>
        <v>5.6292511700468013E-2</v>
      </c>
    </row>
    <row r="12" spans="5:9" thickBot="1" x14ac:dyDescent="0.4">
      <c r="E12" s="4" t="s">
        <v>149</v>
      </c>
      <c r="F12" s="6">
        <v>13166</v>
      </c>
      <c r="G12" s="6">
        <v>12479</v>
      </c>
      <c r="H12" s="33">
        <f t="shared" si="2"/>
        <v>687</v>
      </c>
      <c r="I12" s="25">
        <f t="shared" si="3"/>
        <v>5.5052488180142641E-2</v>
      </c>
    </row>
    <row r="13" spans="5:9" thickBot="1" x14ac:dyDescent="0.4">
      <c r="E13" s="4" t="s">
        <v>150</v>
      </c>
      <c r="F13" s="6">
        <v>36699.96</v>
      </c>
      <c r="G13" s="6">
        <v>29811</v>
      </c>
      <c r="H13" s="33">
        <f t="shared" si="2"/>
        <v>6888.9599999999991</v>
      </c>
      <c r="I13" s="25">
        <f t="shared" si="3"/>
        <v>0.23108785347690447</v>
      </c>
    </row>
    <row r="14" spans="5:9" thickBot="1" x14ac:dyDescent="0.4">
      <c r="E14" s="4" t="s">
        <v>151</v>
      </c>
      <c r="F14" s="6">
        <v>9005.5499999999993</v>
      </c>
      <c r="G14" s="6">
        <v>7363</v>
      </c>
      <c r="H14" s="33">
        <f t="shared" si="2"/>
        <v>1642.5499999999993</v>
      </c>
      <c r="I14" s="25">
        <f t="shared" si="3"/>
        <v>0.22308162433790568</v>
      </c>
    </row>
    <row r="15" spans="5:9" thickBot="1" x14ac:dyDescent="0.4">
      <c r="E15" s="37" t="s">
        <v>16</v>
      </c>
      <c r="F15" s="38">
        <f>SUM(F5:F14)</f>
        <v>195227.88999999998</v>
      </c>
      <c r="G15" s="38">
        <f>SUM(G5:G14)</f>
        <v>205112</v>
      </c>
      <c r="H15" s="26">
        <f t="shared" ref="H15" si="4">+F15-G15</f>
        <v>-9884.1100000000151</v>
      </c>
      <c r="I15" s="14">
        <f t="shared" ref="I15" si="5">((H15*100)/G15)/100</f>
        <v>-4.8188843168610392E-2</v>
      </c>
    </row>
    <row r="17" spans="5:9" thickBot="1" x14ac:dyDescent="0.4"/>
    <row r="18" spans="5:9" ht="15.75" thickBot="1" x14ac:dyDescent="0.3">
      <c r="E18" s="168" t="s">
        <v>152</v>
      </c>
      <c r="F18" s="161">
        <v>2020</v>
      </c>
      <c r="G18" s="161">
        <v>2019</v>
      </c>
      <c r="H18" s="163" t="s">
        <v>10</v>
      </c>
      <c r="I18" s="164"/>
    </row>
    <row r="19" spans="5:9" ht="15.75" thickBot="1" x14ac:dyDescent="0.3">
      <c r="E19" s="169"/>
      <c r="F19" s="162"/>
      <c r="G19" s="162"/>
      <c r="H19" s="3" t="s">
        <v>2</v>
      </c>
      <c r="I19" s="3" t="s">
        <v>3</v>
      </c>
    </row>
    <row r="20" spans="5:9" thickBot="1" x14ac:dyDescent="0.4">
      <c r="E20" s="4" t="s">
        <v>153</v>
      </c>
      <c r="F20" s="41">
        <v>60747.68</v>
      </c>
      <c r="G20" s="41">
        <f>45263+3400</f>
        <v>48663</v>
      </c>
      <c r="H20" s="27">
        <f t="shared" ref="H20:H25" si="6">+F20-G20</f>
        <v>12084.68</v>
      </c>
      <c r="I20" s="13">
        <f t="shared" ref="I20:I25" si="7">((H20*100)/G20)/100</f>
        <v>0.24833405256560426</v>
      </c>
    </row>
    <row r="21" spans="5:9" thickBot="1" x14ac:dyDescent="0.4">
      <c r="E21" s="4" t="s">
        <v>154</v>
      </c>
      <c r="F21" s="41">
        <v>23409.360000000001</v>
      </c>
      <c r="G21" s="41">
        <v>55171</v>
      </c>
      <c r="H21" s="27">
        <f t="shared" si="6"/>
        <v>-31761.64</v>
      </c>
      <c r="I21" s="13">
        <f t="shared" si="7"/>
        <v>-0.57569447717097755</v>
      </c>
    </row>
    <row r="22" spans="5:9" thickBot="1" x14ac:dyDescent="0.4">
      <c r="E22" s="4" t="s">
        <v>155</v>
      </c>
      <c r="F22" s="41">
        <v>8654.89</v>
      </c>
      <c r="G22" s="41">
        <v>12191</v>
      </c>
      <c r="H22" s="27">
        <f t="shared" si="6"/>
        <v>-3536.1100000000006</v>
      </c>
      <c r="I22" s="13">
        <f t="shared" si="7"/>
        <v>-0.29005905996226727</v>
      </c>
    </row>
    <row r="23" spans="5:9" thickBot="1" x14ac:dyDescent="0.4">
      <c r="E23" s="4" t="s">
        <v>156</v>
      </c>
      <c r="F23" s="41">
        <v>31018.7</v>
      </c>
      <c r="G23" s="41">
        <v>30160</v>
      </c>
      <c r="H23" s="27">
        <f t="shared" si="6"/>
        <v>858.70000000000073</v>
      </c>
      <c r="I23" s="13">
        <f t="shared" si="7"/>
        <v>2.8471485411140609E-2</v>
      </c>
    </row>
    <row r="24" spans="5:9" thickBot="1" x14ac:dyDescent="0.4">
      <c r="E24" s="35" t="s">
        <v>157</v>
      </c>
      <c r="F24" s="52">
        <v>97618</v>
      </c>
      <c r="G24" s="52">
        <v>145160</v>
      </c>
      <c r="H24" s="27">
        <f t="shared" si="6"/>
        <v>-47542</v>
      </c>
      <c r="I24" s="13">
        <f t="shared" si="7"/>
        <v>-0.32751446679526042</v>
      </c>
    </row>
    <row r="25" spans="5:9" thickBot="1" x14ac:dyDescent="0.4">
      <c r="E25" s="37" t="s">
        <v>16</v>
      </c>
      <c r="F25" s="53">
        <f>SUM(F20:F24)</f>
        <v>221448.63</v>
      </c>
      <c r="G25" s="53">
        <f>SUM(G20:G24)</f>
        <v>291345</v>
      </c>
      <c r="H25" s="26">
        <f t="shared" si="6"/>
        <v>-69896.37</v>
      </c>
      <c r="I25" s="14">
        <f t="shared" si="7"/>
        <v>-0.23990928280904084</v>
      </c>
    </row>
    <row r="27" spans="5:9" thickBot="1" x14ac:dyDescent="0.4"/>
    <row r="28" spans="5:9" ht="15.75" thickBot="1" x14ac:dyDescent="0.3">
      <c r="E28" s="168" t="s">
        <v>158</v>
      </c>
      <c r="F28" s="161">
        <v>2020</v>
      </c>
      <c r="G28" s="161">
        <v>2019</v>
      </c>
      <c r="H28" s="163" t="s">
        <v>10</v>
      </c>
      <c r="I28" s="164"/>
    </row>
    <row r="29" spans="5:9" ht="15.75" thickBot="1" x14ac:dyDescent="0.3">
      <c r="E29" s="169"/>
      <c r="F29" s="162"/>
      <c r="G29" s="162"/>
      <c r="H29" s="3" t="s">
        <v>2</v>
      </c>
      <c r="I29" s="3" t="s">
        <v>3</v>
      </c>
    </row>
    <row r="30" spans="5:9" thickBot="1" x14ac:dyDescent="0.4">
      <c r="E30" s="4" t="s">
        <v>159</v>
      </c>
      <c r="F30" s="6">
        <v>25447.040000000001</v>
      </c>
      <c r="G30" s="6">
        <v>20782</v>
      </c>
      <c r="H30" s="33">
        <f t="shared" ref="H30:H35" si="8">+F30-G30</f>
        <v>4665.0400000000009</v>
      </c>
      <c r="I30" s="25">
        <f t="shared" ref="I30:I35" si="9">((H30*100)/G30)/100</f>
        <v>0.22447502646521034</v>
      </c>
    </row>
    <row r="31" spans="5:9" thickBot="1" x14ac:dyDescent="0.4">
      <c r="E31" s="4" t="s">
        <v>160</v>
      </c>
      <c r="F31" s="6">
        <v>2493.79</v>
      </c>
      <c r="G31" s="6">
        <v>6405</v>
      </c>
      <c r="H31" s="27">
        <f t="shared" si="8"/>
        <v>-3911.21</v>
      </c>
      <c r="I31" s="13">
        <f t="shared" si="9"/>
        <v>-0.61064949258391887</v>
      </c>
    </row>
    <row r="32" spans="5:9" thickBot="1" x14ac:dyDescent="0.4">
      <c r="E32" s="4" t="s">
        <v>161</v>
      </c>
      <c r="F32" s="6">
        <v>125666.66</v>
      </c>
      <c r="G32" s="6">
        <v>120000</v>
      </c>
      <c r="H32" s="33">
        <f t="shared" si="8"/>
        <v>5666.6600000000035</v>
      </c>
      <c r="I32" s="25">
        <f t="shared" si="9"/>
        <v>4.7222166666666697E-2</v>
      </c>
    </row>
    <row r="33" spans="5:9" thickBot="1" x14ac:dyDescent="0.4">
      <c r="E33" s="4" t="s">
        <v>162</v>
      </c>
      <c r="F33" s="6">
        <v>30189.51</v>
      </c>
      <c r="G33" s="6">
        <v>26437</v>
      </c>
      <c r="H33" s="33">
        <f t="shared" si="8"/>
        <v>3752.5099999999984</v>
      </c>
      <c r="I33" s="25">
        <f t="shared" si="9"/>
        <v>0.14194159700419859</v>
      </c>
    </row>
    <row r="34" spans="5:9" thickBot="1" x14ac:dyDescent="0.4">
      <c r="E34" s="35" t="s">
        <v>163</v>
      </c>
      <c r="F34" s="36">
        <v>1467.06</v>
      </c>
      <c r="G34" s="36">
        <v>5936</v>
      </c>
      <c r="H34" s="27">
        <f t="shared" si="8"/>
        <v>-4468.9400000000005</v>
      </c>
      <c r="I34" s="13">
        <f t="shared" si="9"/>
        <v>-0.75285377358490579</v>
      </c>
    </row>
    <row r="35" spans="5:9" thickBot="1" x14ac:dyDescent="0.4">
      <c r="E35" s="37" t="s">
        <v>16</v>
      </c>
      <c r="F35" s="38">
        <f>SUM(F30:F34)</f>
        <v>185264.06</v>
      </c>
      <c r="G35" s="38">
        <f>SUM(G30:G34)</f>
        <v>179560</v>
      </c>
      <c r="H35" s="54">
        <f t="shared" si="8"/>
        <v>5704.0599999999977</v>
      </c>
      <c r="I35" s="28">
        <f t="shared" si="9"/>
        <v>3.1766874582312303E-2</v>
      </c>
    </row>
    <row r="36" spans="5:9" thickBot="1" x14ac:dyDescent="0.4"/>
    <row r="37" spans="5:9" ht="15.75" thickBot="1" x14ac:dyDescent="0.3">
      <c r="E37" s="168" t="s">
        <v>164</v>
      </c>
      <c r="F37" s="161">
        <v>2020</v>
      </c>
      <c r="G37" s="161">
        <v>2019</v>
      </c>
      <c r="H37" s="163" t="s">
        <v>10</v>
      </c>
      <c r="I37" s="164"/>
    </row>
    <row r="38" spans="5:9" ht="15.75" thickBot="1" x14ac:dyDescent="0.3">
      <c r="E38" s="169"/>
      <c r="F38" s="162"/>
      <c r="G38" s="162"/>
      <c r="H38" s="3" t="s">
        <v>2</v>
      </c>
      <c r="I38" s="3" t="s">
        <v>3</v>
      </c>
    </row>
    <row r="39" spans="5:9" thickBot="1" x14ac:dyDescent="0.4">
      <c r="E39" s="4" t="s">
        <v>165</v>
      </c>
      <c r="F39" s="6">
        <f>43300+80000+109300</f>
        <v>232600</v>
      </c>
      <c r="G39" s="6">
        <v>152550</v>
      </c>
      <c r="H39" s="55">
        <f t="shared" ref="H39" si="10">+F39-G39</f>
        <v>80050</v>
      </c>
      <c r="I39" s="25">
        <f t="shared" ref="I39" si="11">((H39*100)/G39)/100</f>
        <v>0.52474598492297608</v>
      </c>
    </row>
    <row r="40" spans="5:9" thickBot="1" x14ac:dyDescent="0.4">
      <c r="E40" s="4" t="s">
        <v>166</v>
      </c>
      <c r="F40" s="6">
        <v>439811</v>
      </c>
      <c r="G40" s="6">
        <v>584311</v>
      </c>
      <c r="H40" s="55">
        <f t="shared" ref="H40:H43" si="12">+F40-G40</f>
        <v>-144500</v>
      </c>
      <c r="I40" s="13">
        <f t="shared" ref="I40:I43" si="13">((H40*100)/G40)/100</f>
        <v>-0.24729981123066314</v>
      </c>
    </row>
    <row r="41" spans="5:9" ht="15.75" thickBot="1" x14ac:dyDescent="0.3">
      <c r="E41" s="4" t="s">
        <v>167</v>
      </c>
      <c r="F41" s="6">
        <f>29012.62+17700</f>
        <v>46712.619999999995</v>
      </c>
      <c r="G41" s="6">
        <v>58652</v>
      </c>
      <c r="H41" s="55">
        <f t="shared" si="12"/>
        <v>-11939.380000000005</v>
      </c>
      <c r="I41" s="25">
        <f t="shared" si="13"/>
        <v>-0.20356304985337251</v>
      </c>
    </row>
    <row r="42" spans="5:9" ht="15.75" thickBot="1" x14ac:dyDescent="0.3">
      <c r="E42" s="35" t="s">
        <v>168</v>
      </c>
      <c r="F42" s="36">
        <f>19787.78+2080+1713.92+2993</f>
        <v>26574.699999999997</v>
      </c>
      <c r="G42" s="36">
        <v>27560</v>
      </c>
      <c r="H42" s="55">
        <f t="shared" si="12"/>
        <v>-985.30000000000291</v>
      </c>
      <c r="I42" s="25">
        <f t="shared" si="13"/>
        <v>-3.5751088534107509E-2</v>
      </c>
    </row>
    <row r="43" spans="5:9" ht="15.75" thickBot="1" x14ac:dyDescent="0.3">
      <c r="E43" s="37" t="s">
        <v>16</v>
      </c>
      <c r="F43" s="38">
        <f>SUM(F39:F42)</f>
        <v>745698.32</v>
      </c>
      <c r="G43" s="38">
        <f>SUM(G39:G42)</f>
        <v>823073</v>
      </c>
      <c r="H43" s="56">
        <f t="shared" si="12"/>
        <v>-77374.680000000051</v>
      </c>
      <c r="I43" s="14">
        <f t="shared" si="13"/>
        <v>-9.4007068631822524E-2</v>
      </c>
    </row>
  </sheetData>
  <mergeCells count="16">
    <mergeCell ref="E3:E4"/>
    <mergeCell ref="F3:F4"/>
    <mergeCell ref="G3:G4"/>
    <mergeCell ref="H3:I3"/>
    <mergeCell ref="E18:E19"/>
    <mergeCell ref="F18:F19"/>
    <mergeCell ref="G18:G19"/>
    <mergeCell ref="H18:I18"/>
    <mergeCell ref="E28:E29"/>
    <mergeCell ref="F28:F29"/>
    <mergeCell ref="G28:G29"/>
    <mergeCell ref="H28:I28"/>
    <mergeCell ref="E37:E38"/>
    <mergeCell ref="F37:F38"/>
    <mergeCell ref="G37:G38"/>
    <mergeCell ref="H37:I3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L118"/>
  <sheetViews>
    <sheetView tabSelected="1" topLeftCell="A86" workbookViewId="0">
      <selection activeCell="F118" sqref="F118"/>
    </sheetView>
  </sheetViews>
  <sheetFormatPr defaultRowHeight="15" x14ac:dyDescent="0.25"/>
  <cols>
    <col min="6" max="6" width="40.28515625" bestFit="1" customWidth="1"/>
    <col min="7" max="7" width="10.140625" bestFit="1" customWidth="1"/>
    <col min="8" max="8" width="10.7109375" bestFit="1" customWidth="1"/>
    <col min="9" max="10" width="10.140625" bestFit="1" customWidth="1"/>
  </cols>
  <sheetData>
    <row r="1" spans="6:10" thickBot="1" x14ac:dyDescent="0.4"/>
    <row r="2" spans="6:10" ht="41.1" customHeight="1" thickBot="1" x14ac:dyDescent="0.3">
      <c r="F2" s="168" t="s">
        <v>169</v>
      </c>
      <c r="G2" s="161">
        <v>2022</v>
      </c>
      <c r="H2" s="161">
        <v>2021</v>
      </c>
      <c r="I2" s="163" t="s">
        <v>585</v>
      </c>
      <c r="J2" s="164"/>
    </row>
    <row r="3" spans="6:10" ht="15.75" thickBot="1" x14ac:dyDescent="0.3">
      <c r="F3" s="169"/>
      <c r="G3" s="162"/>
      <c r="H3" s="162"/>
      <c r="I3" s="3" t="s">
        <v>2</v>
      </c>
      <c r="J3" s="3" t="s">
        <v>3</v>
      </c>
    </row>
    <row r="4" spans="6:10" ht="15.75" thickBot="1" x14ac:dyDescent="0.3">
      <c r="F4" s="4" t="s">
        <v>170</v>
      </c>
      <c r="G4" s="6">
        <f>+G17+G22+G28+G33+G39+G44++G50+G56+G60+G66+G71+G73+G68+G62+G53+G46+G41+G35+G30+G24+G19+G14</f>
        <v>5687390.5900000017</v>
      </c>
      <c r="H4" s="6">
        <v>5338366</v>
      </c>
      <c r="I4" s="55">
        <f t="shared" ref="I4:I9" si="0">+G4-H4</f>
        <v>349024.59000000171</v>
      </c>
      <c r="J4" s="25">
        <f t="shared" ref="J4:J9" si="1">((I4*100)/H4)/100</f>
        <v>6.5380416029924088E-2</v>
      </c>
    </row>
    <row r="5" spans="6:10" ht="15.75" thickBot="1" x14ac:dyDescent="0.3">
      <c r="F5" s="4" t="s">
        <v>171</v>
      </c>
      <c r="G5" s="6">
        <f>+G18+G23+G29+G34+G40+G45+G51+G52+G61+G67+G72</f>
        <v>1093957.4099999999</v>
      </c>
      <c r="H5" s="6">
        <f>1154942-70700</f>
        <v>1084242</v>
      </c>
      <c r="I5" s="55">
        <f t="shared" si="0"/>
        <v>9715.4099999999162</v>
      </c>
      <c r="J5" s="13">
        <f t="shared" si="1"/>
        <v>8.9605549314635616E-3</v>
      </c>
    </row>
    <row r="6" spans="6:10" ht="15.75" thickBot="1" x14ac:dyDescent="0.3">
      <c r="F6" s="4" t="s">
        <v>172</v>
      </c>
      <c r="G6" s="6">
        <f>+G16</f>
        <v>115577.98</v>
      </c>
      <c r="H6" s="6">
        <v>70699.820000000007</v>
      </c>
      <c r="I6" s="55">
        <f t="shared" si="0"/>
        <v>44878.159999999989</v>
      </c>
      <c r="J6" s="25">
        <f t="shared" si="1"/>
        <v>0.63477049870848301</v>
      </c>
    </row>
    <row r="7" spans="6:10" ht="15.75" thickBot="1" x14ac:dyDescent="0.3">
      <c r="F7" s="4" t="s">
        <v>173</v>
      </c>
      <c r="G7" s="6">
        <f>+G54</f>
        <v>524359.51</v>
      </c>
      <c r="H7" s="6">
        <v>412544</v>
      </c>
      <c r="I7" s="55">
        <f t="shared" si="0"/>
        <v>111815.51000000001</v>
      </c>
      <c r="J7" s="25">
        <f t="shared" si="1"/>
        <v>0.27103899220446787</v>
      </c>
    </row>
    <row r="8" spans="6:10" ht="15.75" thickBot="1" x14ac:dyDescent="0.3">
      <c r="F8" s="4" t="s">
        <v>340</v>
      </c>
      <c r="G8" s="6">
        <f>+G15</f>
        <v>55414.1</v>
      </c>
      <c r="H8" s="6">
        <v>10945</v>
      </c>
      <c r="I8" s="55">
        <f t="shared" si="0"/>
        <v>44469.1</v>
      </c>
      <c r="J8" s="25">
        <f t="shared" si="1"/>
        <v>4.062960255824577</v>
      </c>
    </row>
    <row r="9" spans="6:10" ht="15.75" thickBot="1" x14ac:dyDescent="0.3">
      <c r="F9" s="37" t="s">
        <v>16</v>
      </c>
      <c r="G9" s="38">
        <f>SUM(G4:G8)</f>
        <v>7476699.5900000017</v>
      </c>
      <c r="H9" s="38">
        <f>SUM(H4:H8)</f>
        <v>6916796.8200000003</v>
      </c>
      <c r="I9" s="56">
        <f t="shared" si="0"/>
        <v>559902.77000000142</v>
      </c>
      <c r="J9" s="28">
        <f t="shared" si="1"/>
        <v>8.0948274840318551E-2</v>
      </c>
    </row>
    <row r="10" spans="6:10" x14ac:dyDescent="0.25">
      <c r="G10" s="5"/>
    </row>
    <row r="11" spans="6:10" ht="15.75" thickBot="1" x14ac:dyDescent="0.3"/>
    <row r="12" spans="6:10" ht="15.75" thickBot="1" x14ac:dyDescent="0.3">
      <c r="F12" s="168" t="s">
        <v>169</v>
      </c>
      <c r="G12" s="161">
        <v>2022</v>
      </c>
      <c r="H12" s="161">
        <v>2021</v>
      </c>
      <c r="I12" s="163" t="s">
        <v>585</v>
      </c>
      <c r="J12" s="164"/>
    </row>
    <row r="13" spans="6:10" ht="15.75" thickBot="1" x14ac:dyDescent="0.3">
      <c r="F13" s="171"/>
      <c r="G13" s="162"/>
      <c r="H13" s="162"/>
      <c r="I13" s="3" t="s">
        <v>2</v>
      </c>
      <c r="J13" s="3" t="s">
        <v>3</v>
      </c>
    </row>
    <row r="14" spans="6:10" ht="15.75" thickBot="1" x14ac:dyDescent="0.3">
      <c r="F14" s="66" t="s">
        <v>174</v>
      </c>
      <c r="G14" s="67">
        <v>34295.19</v>
      </c>
      <c r="H14" s="67">
        <v>40088.93</v>
      </c>
      <c r="I14" s="71">
        <f t="shared" ref="I14:I73" si="2">+G14-H14</f>
        <v>-5793.739999999998</v>
      </c>
      <c r="J14" s="72">
        <f t="shared" ref="J14:J73" si="3">((I14*100)/H14)/100</f>
        <v>-0.14452219103877298</v>
      </c>
    </row>
    <row r="15" spans="6:10" ht="15.75" thickBot="1" x14ac:dyDescent="0.3">
      <c r="F15" s="69" t="s">
        <v>340</v>
      </c>
      <c r="G15" s="67">
        <v>55414.1</v>
      </c>
      <c r="H15" s="67">
        <v>10945</v>
      </c>
      <c r="I15" s="71">
        <f t="shared" ref="I15" si="4">+G15-H15</f>
        <v>44469.1</v>
      </c>
      <c r="J15" s="73">
        <v>1</v>
      </c>
    </row>
    <row r="16" spans="6:10" ht="15.75" thickBot="1" x14ac:dyDescent="0.3">
      <c r="F16" s="69" t="s">
        <v>175</v>
      </c>
      <c r="G16" s="67">
        <v>115577.98</v>
      </c>
      <c r="H16" s="67">
        <v>70699.820000000007</v>
      </c>
      <c r="I16" s="71">
        <f t="shared" si="2"/>
        <v>44878.159999999989</v>
      </c>
      <c r="J16" s="73">
        <f t="shared" si="3"/>
        <v>0.63477049870848301</v>
      </c>
    </row>
    <row r="17" spans="6:12" ht="15.75" thickBot="1" x14ac:dyDescent="0.3">
      <c r="F17" s="60" t="s">
        <v>176</v>
      </c>
      <c r="G17" s="68">
        <v>169121.45</v>
      </c>
      <c r="H17" s="68">
        <v>40056.61</v>
      </c>
      <c r="I17" s="55">
        <f t="shared" si="2"/>
        <v>129064.84000000001</v>
      </c>
      <c r="J17" s="25">
        <f t="shared" si="3"/>
        <v>3.2220609782006022</v>
      </c>
    </row>
    <row r="18" spans="6:12" ht="15.75" thickBot="1" x14ac:dyDescent="0.3">
      <c r="F18" s="60" t="s">
        <v>177</v>
      </c>
      <c r="G18" s="65">
        <v>39420.78</v>
      </c>
      <c r="H18" s="65">
        <v>9191.85</v>
      </c>
      <c r="I18" s="55">
        <f t="shared" si="2"/>
        <v>30228.93</v>
      </c>
      <c r="J18" s="25">
        <f t="shared" si="3"/>
        <v>3.2886665905122472</v>
      </c>
    </row>
    <row r="19" spans="6:12" ht="15.75" thickBot="1" x14ac:dyDescent="0.3">
      <c r="F19" s="60" t="s">
        <v>586</v>
      </c>
      <c r="G19" s="70">
        <v>11253.22</v>
      </c>
      <c r="H19" s="70">
        <v>0</v>
      </c>
      <c r="I19" s="55">
        <f t="shared" si="2"/>
        <v>11253.22</v>
      </c>
      <c r="J19" s="25">
        <v>1</v>
      </c>
    </row>
    <row r="20" spans="6:12" ht="15.75" thickBot="1" x14ac:dyDescent="0.3">
      <c r="F20" s="61" t="s">
        <v>178</v>
      </c>
      <c r="G20" s="70">
        <v>0</v>
      </c>
      <c r="H20" s="70">
        <v>1672.6</v>
      </c>
      <c r="I20" s="55">
        <f t="shared" si="2"/>
        <v>-1672.6</v>
      </c>
      <c r="J20" s="13">
        <f t="shared" si="3"/>
        <v>-1</v>
      </c>
    </row>
    <row r="21" spans="6:12" ht="15.75" thickBot="1" x14ac:dyDescent="0.3">
      <c r="F21" s="58" t="s">
        <v>16</v>
      </c>
      <c r="G21" s="67">
        <f>SUM(G17:G20)</f>
        <v>219795.45</v>
      </c>
      <c r="H21" s="67">
        <f>SUM(H17:H20)</f>
        <v>50921.06</v>
      </c>
      <c r="I21" s="71">
        <f t="shared" si="2"/>
        <v>168874.39</v>
      </c>
      <c r="J21" s="73">
        <f t="shared" si="3"/>
        <v>3.3163958095137849</v>
      </c>
    </row>
    <row r="22" spans="6:12" ht="15.75" thickBot="1" x14ac:dyDescent="0.3">
      <c r="F22" s="60" t="s">
        <v>179</v>
      </c>
      <c r="G22" s="68">
        <v>1237061.72</v>
      </c>
      <c r="H22" s="68">
        <v>1095467.54</v>
      </c>
      <c r="I22" s="55">
        <f t="shared" si="2"/>
        <v>141594.17999999993</v>
      </c>
      <c r="J22" s="25">
        <f t="shared" si="3"/>
        <v>0.12925456467655802</v>
      </c>
    </row>
    <row r="23" spans="6:12" ht="15.75" thickBot="1" x14ac:dyDescent="0.3">
      <c r="F23" s="60" t="s">
        <v>180</v>
      </c>
      <c r="G23" s="65">
        <v>224070.83</v>
      </c>
      <c r="H23" s="65">
        <v>236069.97</v>
      </c>
      <c r="I23" s="55">
        <f t="shared" si="2"/>
        <v>-11999.140000000014</v>
      </c>
      <c r="J23" s="25">
        <f t="shared" si="3"/>
        <v>-5.0828743698319669E-2</v>
      </c>
    </row>
    <row r="24" spans="6:12" ht="15.75" thickBot="1" x14ac:dyDescent="0.3">
      <c r="F24" s="60" t="s">
        <v>587</v>
      </c>
      <c r="G24" s="70">
        <v>59961.61</v>
      </c>
      <c r="H24" s="70">
        <v>0</v>
      </c>
      <c r="I24" s="55">
        <f t="shared" si="2"/>
        <v>59961.61</v>
      </c>
      <c r="J24" s="25">
        <v>1</v>
      </c>
    </row>
    <row r="25" spans="6:12" ht="15.75" thickBot="1" x14ac:dyDescent="0.3">
      <c r="F25" s="61" t="s">
        <v>181</v>
      </c>
      <c r="G25" s="70">
        <v>0</v>
      </c>
      <c r="H25" s="70">
        <v>109063.26</v>
      </c>
      <c r="I25" s="55">
        <f t="shared" si="2"/>
        <v>-109063.26</v>
      </c>
      <c r="J25" s="25">
        <f t="shared" si="3"/>
        <v>-1</v>
      </c>
    </row>
    <row r="26" spans="6:12" ht="15.75" thickBot="1" x14ac:dyDescent="0.3">
      <c r="F26" s="62" t="s">
        <v>16</v>
      </c>
      <c r="G26" s="67">
        <f>SUM(G22:G25)</f>
        <v>1521094.1600000001</v>
      </c>
      <c r="H26" s="67">
        <f>SUM(H22:H25)</f>
        <v>1440600.77</v>
      </c>
      <c r="I26" s="71">
        <f t="shared" si="2"/>
        <v>80493.39000000013</v>
      </c>
      <c r="J26" s="73">
        <f t="shared" si="3"/>
        <v>5.5874876423952023E-2</v>
      </c>
      <c r="L26" s="5"/>
    </row>
    <row r="27" spans="6:12" ht="15.75" thickBot="1" x14ac:dyDescent="0.3">
      <c r="F27" s="59" t="s">
        <v>182</v>
      </c>
      <c r="G27" s="67">
        <f>+G21+G26</f>
        <v>1740889.61</v>
      </c>
      <c r="H27" s="67">
        <f>+H21+H26</f>
        <v>1491521.83</v>
      </c>
      <c r="I27" s="71">
        <f t="shared" si="2"/>
        <v>249367.78000000003</v>
      </c>
      <c r="J27" s="73">
        <f t="shared" si="3"/>
        <v>0.16719016442421097</v>
      </c>
    </row>
    <row r="28" spans="6:12" ht="15.75" thickBot="1" x14ac:dyDescent="0.3">
      <c r="F28" s="60" t="s">
        <v>183</v>
      </c>
      <c r="G28" s="68">
        <v>337661.65</v>
      </c>
      <c r="H28" s="68">
        <v>135327.26999999999</v>
      </c>
      <c r="I28" s="55">
        <f t="shared" si="2"/>
        <v>202334.38000000003</v>
      </c>
      <c r="J28" s="25">
        <f t="shared" si="3"/>
        <v>1.4951486126927711</v>
      </c>
    </row>
    <row r="29" spans="6:12" ht="15.75" thickBot="1" x14ac:dyDescent="0.3">
      <c r="F29" s="60" t="s">
        <v>184</v>
      </c>
      <c r="G29" s="65">
        <f>61964.72+7865.9</f>
        <v>69830.62</v>
      </c>
      <c r="H29" s="65">
        <v>28097.84</v>
      </c>
      <c r="I29" s="55">
        <f t="shared" si="2"/>
        <v>41732.78</v>
      </c>
      <c r="J29" s="25">
        <f t="shared" si="3"/>
        <v>1.4852664831175637</v>
      </c>
    </row>
    <row r="30" spans="6:12" ht="15.75" thickBot="1" x14ac:dyDescent="0.3">
      <c r="F30" s="60" t="s">
        <v>556</v>
      </c>
      <c r="G30" s="70">
        <v>12433.37</v>
      </c>
      <c r="H30" s="70">
        <v>1249.8499999999999</v>
      </c>
      <c r="I30" s="55">
        <f t="shared" si="2"/>
        <v>11183.52</v>
      </c>
      <c r="J30" s="25">
        <v>1</v>
      </c>
    </row>
    <row r="31" spans="6:12" ht="15.75" thickBot="1" x14ac:dyDescent="0.3">
      <c r="F31" s="61" t="s">
        <v>178</v>
      </c>
      <c r="G31" s="70">
        <v>0</v>
      </c>
      <c r="H31" s="70">
        <v>0</v>
      </c>
      <c r="I31" s="55">
        <f t="shared" si="2"/>
        <v>0</v>
      </c>
      <c r="J31" s="25">
        <v>0</v>
      </c>
    </row>
    <row r="32" spans="6:12" ht="15.75" thickBot="1" x14ac:dyDescent="0.3">
      <c r="F32" s="58" t="s">
        <v>16</v>
      </c>
      <c r="G32" s="67">
        <f>SUM(G28:G31)</f>
        <v>419925.64</v>
      </c>
      <c r="H32" s="67">
        <f>SUM(H28:H31)</f>
        <v>164674.96</v>
      </c>
      <c r="I32" s="71">
        <f t="shared" si="2"/>
        <v>255250.68000000002</v>
      </c>
      <c r="J32" s="73">
        <f t="shared" si="3"/>
        <v>1.5500272779783888</v>
      </c>
    </row>
    <row r="33" spans="6:10" ht="15.75" thickBot="1" x14ac:dyDescent="0.3">
      <c r="F33" s="60" t="s">
        <v>185</v>
      </c>
      <c r="G33" s="68">
        <v>1740007.51</v>
      </c>
      <c r="H33" s="68">
        <v>2103715.52</v>
      </c>
      <c r="I33" s="55">
        <f t="shared" si="2"/>
        <v>-363708.01</v>
      </c>
      <c r="J33" s="13">
        <f t="shared" si="3"/>
        <v>-0.1728883998536076</v>
      </c>
    </row>
    <row r="34" spans="6:10" ht="15.75" thickBot="1" x14ac:dyDescent="0.3">
      <c r="F34" s="60" t="s">
        <v>186</v>
      </c>
      <c r="G34" s="65">
        <v>322438.05</v>
      </c>
      <c r="H34" s="65">
        <v>408516.99</v>
      </c>
      <c r="I34" s="55">
        <f t="shared" si="2"/>
        <v>-86078.94</v>
      </c>
      <c r="J34" s="13">
        <f t="shared" si="3"/>
        <v>-0.21071079565136322</v>
      </c>
    </row>
    <row r="35" spans="6:10" ht="15.75" thickBot="1" x14ac:dyDescent="0.3">
      <c r="F35" s="60" t="s">
        <v>187</v>
      </c>
      <c r="G35" s="65">
        <v>56069.73</v>
      </c>
      <c r="H35" s="65">
        <v>8570.4</v>
      </c>
      <c r="I35" s="55">
        <f t="shared" si="2"/>
        <v>47499.33</v>
      </c>
      <c r="J35" s="25">
        <v>1</v>
      </c>
    </row>
    <row r="36" spans="6:10" ht="15.75" thickBot="1" x14ac:dyDescent="0.3">
      <c r="F36" s="61" t="s">
        <v>188</v>
      </c>
      <c r="G36" s="70">
        <v>0</v>
      </c>
      <c r="H36" s="70">
        <v>146870.67000000001</v>
      </c>
      <c r="I36" s="55">
        <f t="shared" si="2"/>
        <v>-146870.67000000001</v>
      </c>
      <c r="J36" s="13">
        <f t="shared" si="3"/>
        <v>-1</v>
      </c>
    </row>
    <row r="37" spans="6:10" ht="15.75" thickBot="1" x14ac:dyDescent="0.3">
      <c r="F37" s="58" t="s">
        <v>16</v>
      </c>
      <c r="G37" s="67">
        <f>SUM(G33:G36)</f>
        <v>2118515.29</v>
      </c>
      <c r="H37" s="67">
        <f>SUM(H33:H36)</f>
        <v>2667673.5799999996</v>
      </c>
      <c r="I37" s="71">
        <f t="shared" si="2"/>
        <v>-549158.28999999957</v>
      </c>
      <c r="J37" s="72">
        <f t="shared" si="3"/>
        <v>-0.20585662883087802</v>
      </c>
    </row>
    <row r="38" spans="6:10" ht="15.75" thickBot="1" x14ac:dyDescent="0.3">
      <c r="F38" s="66" t="s">
        <v>189</v>
      </c>
      <c r="G38" s="67">
        <f>+G32+G37</f>
        <v>2538440.9300000002</v>
      </c>
      <c r="H38" s="67">
        <f>+H32+H37</f>
        <v>2832348.5399999996</v>
      </c>
      <c r="I38" s="71">
        <f t="shared" si="2"/>
        <v>-293907.6099999994</v>
      </c>
      <c r="J38" s="72">
        <f t="shared" si="3"/>
        <v>-0.10376816477537028</v>
      </c>
    </row>
    <row r="39" spans="6:10" ht="15.75" thickBot="1" x14ac:dyDescent="0.3">
      <c r="F39" s="60" t="s">
        <v>190</v>
      </c>
      <c r="G39" s="68">
        <v>34627.11</v>
      </c>
      <c r="H39" s="68">
        <v>14873.23</v>
      </c>
      <c r="I39" s="55">
        <f t="shared" si="2"/>
        <v>19753.88</v>
      </c>
      <c r="J39" s="25">
        <f t="shared" si="3"/>
        <v>1.3281499714587885</v>
      </c>
    </row>
    <row r="40" spans="6:10" ht="15.75" thickBot="1" x14ac:dyDescent="0.3">
      <c r="F40" s="60" t="s">
        <v>191</v>
      </c>
      <c r="G40" s="65">
        <v>7632.01</v>
      </c>
      <c r="H40" s="65">
        <v>2829.6</v>
      </c>
      <c r="I40" s="55">
        <f t="shared" si="2"/>
        <v>4802.41</v>
      </c>
      <c r="J40" s="25">
        <f t="shared" si="3"/>
        <v>1.6972045518801244</v>
      </c>
    </row>
    <row r="41" spans="6:10" ht="15.75" thickBot="1" x14ac:dyDescent="0.3">
      <c r="F41" s="60" t="s">
        <v>588</v>
      </c>
      <c r="G41" s="70">
        <v>1083</v>
      </c>
      <c r="H41" s="70">
        <v>0</v>
      </c>
      <c r="I41" s="55">
        <f t="shared" si="2"/>
        <v>1083</v>
      </c>
      <c r="J41" s="25">
        <v>1</v>
      </c>
    </row>
    <row r="42" spans="6:10" ht="15.75" thickBot="1" x14ac:dyDescent="0.3">
      <c r="F42" s="61" t="s">
        <v>178</v>
      </c>
      <c r="G42" s="70">
        <v>0</v>
      </c>
      <c r="H42" s="70">
        <v>242.95</v>
      </c>
      <c r="I42" s="55">
        <f t="shared" si="2"/>
        <v>-242.95</v>
      </c>
      <c r="J42" s="13">
        <f t="shared" si="3"/>
        <v>-1</v>
      </c>
    </row>
    <row r="43" spans="6:10" ht="15.75" thickBot="1" x14ac:dyDescent="0.3">
      <c r="F43" s="58" t="s">
        <v>16</v>
      </c>
      <c r="G43" s="67">
        <f>SUM(G39:G42)</f>
        <v>43342.12</v>
      </c>
      <c r="H43" s="67">
        <f>SUM(H39:H42)</f>
        <v>17945.78</v>
      </c>
      <c r="I43" s="71">
        <f t="shared" si="2"/>
        <v>25396.340000000004</v>
      </c>
      <c r="J43" s="73">
        <f t="shared" si="3"/>
        <v>1.4151705860653596</v>
      </c>
    </row>
    <row r="44" spans="6:10" ht="15.75" thickBot="1" x14ac:dyDescent="0.3">
      <c r="F44" s="60" t="s">
        <v>192</v>
      </c>
      <c r="G44" s="65">
        <v>86764.26</v>
      </c>
      <c r="H44" s="65">
        <v>101951.82</v>
      </c>
      <c r="I44" s="55">
        <f t="shared" si="2"/>
        <v>-15187.560000000012</v>
      </c>
      <c r="J44" s="13">
        <f t="shared" si="3"/>
        <v>-0.14896801253768702</v>
      </c>
    </row>
    <row r="45" spans="6:10" ht="15.75" thickBot="1" x14ac:dyDescent="0.3">
      <c r="F45" s="60" t="s">
        <v>193</v>
      </c>
      <c r="G45" s="65">
        <v>18889.45</v>
      </c>
      <c r="H45" s="65">
        <v>20136.59</v>
      </c>
      <c r="I45" s="55">
        <f t="shared" si="2"/>
        <v>-1247.1399999999994</v>
      </c>
      <c r="J45" s="13">
        <f t="shared" si="3"/>
        <v>-6.1934021599486272E-2</v>
      </c>
    </row>
    <row r="46" spans="6:10" ht="15.75" thickBot="1" x14ac:dyDescent="0.3">
      <c r="F46" s="60" t="s">
        <v>589</v>
      </c>
      <c r="G46" s="70">
        <v>4079</v>
      </c>
      <c r="H46" s="70">
        <v>0</v>
      </c>
      <c r="I46" s="55">
        <f t="shared" si="2"/>
        <v>4079</v>
      </c>
      <c r="J46" s="25">
        <v>1</v>
      </c>
    </row>
    <row r="47" spans="6:10" ht="15.75" thickBot="1" x14ac:dyDescent="0.3">
      <c r="F47" s="61" t="s">
        <v>194</v>
      </c>
      <c r="G47" s="70">
        <v>0</v>
      </c>
      <c r="H47" s="70">
        <v>9335.26</v>
      </c>
      <c r="I47" s="55">
        <f t="shared" si="2"/>
        <v>-9335.26</v>
      </c>
      <c r="J47" s="13">
        <f t="shared" si="3"/>
        <v>-1</v>
      </c>
    </row>
    <row r="48" spans="6:10" ht="15.75" thickBot="1" x14ac:dyDescent="0.3">
      <c r="F48" s="58" t="s">
        <v>16</v>
      </c>
      <c r="G48" s="67">
        <f>SUM(G44:G47)</f>
        <v>109732.70999999999</v>
      </c>
      <c r="H48" s="67">
        <f>SUM(H44:H47)</f>
        <v>131423.67000000001</v>
      </c>
      <c r="I48" s="71">
        <f t="shared" si="2"/>
        <v>-21690.960000000021</v>
      </c>
      <c r="J48" s="72">
        <f t="shared" si="3"/>
        <v>-0.1650460681854343</v>
      </c>
    </row>
    <row r="49" spans="6:10" ht="15.75" thickBot="1" x14ac:dyDescent="0.3">
      <c r="F49" s="59" t="s">
        <v>195</v>
      </c>
      <c r="G49" s="67">
        <f>+G43+G48</f>
        <v>153074.82999999999</v>
      </c>
      <c r="H49" s="67">
        <f>+H43+H48</f>
        <v>149369.45000000001</v>
      </c>
      <c r="I49" s="71">
        <f t="shared" si="2"/>
        <v>3705.3799999999756</v>
      </c>
      <c r="J49" s="73">
        <f t="shared" si="3"/>
        <v>2.4806812905851735E-2</v>
      </c>
    </row>
    <row r="50" spans="6:10" ht="15.75" thickBot="1" x14ac:dyDescent="0.3">
      <c r="F50" s="60" t="s">
        <v>196</v>
      </c>
      <c r="G50" s="68">
        <v>767718.68</v>
      </c>
      <c r="H50" s="68">
        <v>751090.45</v>
      </c>
      <c r="I50" s="55">
        <f t="shared" si="2"/>
        <v>16628.230000000098</v>
      </c>
      <c r="J50" s="25">
        <f t="shared" si="3"/>
        <v>2.2138785015839435E-2</v>
      </c>
    </row>
    <row r="51" spans="6:10" ht="15.75" thickBot="1" x14ac:dyDescent="0.3">
      <c r="F51" s="60" t="s">
        <v>197</v>
      </c>
      <c r="G51" s="65">
        <v>163464.47</v>
      </c>
      <c r="H51" s="65">
        <v>141571.71</v>
      </c>
      <c r="I51" s="55">
        <f t="shared" si="2"/>
        <v>21892.760000000009</v>
      </c>
      <c r="J51" s="25">
        <f t="shared" si="3"/>
        <v>0.15464078239925202</v>
      </c>
    </row>
    <row r="52" spans="6:10" ht="15.75" thickBot="1" x14ac:dyDescent="0.3">
      <c r="F52" s="60" t="s">
        <v>198</v>
      </c>
      <c r="G52" s="65">
        <v>6727.88</v>
      </c>
      <c r="H52" s="65">
        <v>9530.49</v>
      </c>
      <c r="I52" s="55">
        <f t="shared" si="2"/>
        <v>-2802.6099999999997</v>
      </c>
      <c r="J52" s="13">
        <f t="shared" si="3"/>
        <v>-0.29406777615841362</v>
      </c>
    </row>
    <row r="53" spans="6:10" ht="15.75" thickBot="1" x14ac:dyDescent="0.3">
      <c r="F53" s="60" t="s">
        <v>557</v>
      </c>
      <c r="G53" s="70">
        <v>12083.41</v>
      </c>
      <c r="H53" s="70">
        <v>535.65</v>
      </c>
      <c r="I53" s="55">
        <f t="shared" si="2"/>
        <v>11547.76</v>
      </c>
      <c r="J53" s="25">
        <f t="shared" si="3"/>
        <v>21.558405675347707</v>
      </c>
    </row>
    <row r="54" spans="6:10" ht="15.75" thickBot="1" x14ac:dyDescent="0.3">
      <c r="F54" s="61" t="s">
        <v>199</v>
      </c>
      <c r="G54" s="70">
        <v>524359.51</v>
      </c>
      <c r="H54" s="70">
        <v>63973.02</v>
      </c>
      <c r="I54" s="55">
        <f t="shared" si="2"/>
        <v>460386.49</v>
      </c>
      <c r="J54" s="25">
        <f t="shared" si="3"/>
        <v>7.1965727114336637</v>
      </c>
    </row>
    <row r="55" spans="6:10" ht="15.75" thickBot="1" x14ac:dyDescent="0.3">
      <c r="F55" s="58" t="s">
        <v>16</v>
      </c>
      <c r="G55" s="67">
        <f>SUM(G50:G54)</f>
        <v>1474353.9500000002</v>
      </c>
      <c r="H55" s="67">
        <f>SUM(H50:H54)</f>
        <v>966701.32</v>
      </c>
      <c r="I55" s="71">
        <f t="shared" si="2"/>
        <v>507652.63000000024</v>
      </c>
      <c r="J55" s="73">
        <f t="shared" si="3"/>
        <v>0.52513906777328101</v>
      </c>
    </row>
    <row r="56" spans="6:10" ht="15.75" thickBot="1" x14ac:dyDescent="0.3">
      <c r="F56" s="63" t="s">
        <v>200</v>
      </c>
      <c r="G56" s="68">
        <v>0</v>
      </c>
      <c r="H56" s="68">
        <v>2090.91</v>
      </c>
      <c r="I56" s="55">
        <f t="shared" si="2"/>
        <v>-2090.91</v>
      </c>
      <c r="J56" s="13">
        <f t="shared" si="3"/>
        <v>-1</v>
      </c>
    </row>
    <row r="57" spans="6:10" ht="15.75" thickBot="1" x14ac:dyDescent="0.3">
      <c r="F57" s="60" t="s">
        <v>201</v>
      </c>
      <c r="G57" s="65">
        <v>0</v>
      </c>
      <c r="H57" s="65">
        <v>608.54999999999995</v>
      </c>
      <c r="I57" s="55">
        <f t="shared" si="2"/>
        <v>-608.54999999999995</v>
      </c>
      <c r="J57" s="13">
        <f t="shared" si="3"/>
        <v>-1</v>
      </c>
    </row>
    <row r="58" spans="6:10" ht="15.75" thickBot="1" x14ac:dyDescent="0.3">
      <c r="F58" s="61" t="s">
        <v>178</v>
      </c>
      <c r="G58" s="70">
        <v>0</v>
      </c>
      <c r="H58" s="70">
        <v>0</v>
      </c>
      <c r="I58" s="55">
        <f t="shared" si="2"/>
        <v>0</v>
      </c>
      <c r="J58" s="25">
        <v>0</v>
      </c>
    </row>
    <row r="59" spans="6:10" ht="15.75" thickBot="1" x14ac:dyDescent="0.3">
      <c r="F59" s="62" t="s">
        <v>16</v>
      </c>
      <c r="G59" s="67">
        <f>SUM(G56:G58)</f>
        <v>0</v>
      </c>
      <c r="H59" s="67">
        <f>SUM(H56:H58)</f>
        <v>2699.46</v>
      </c>
      <c r="I59" s="71">
        <f t="shared" si="2"/>
        <v>-2699.46</v>
      </c>
      <c r="J59" s="72">
        <f t="shared" si="3"/>
        <v>-1</v>
      </c>
    </row>
    <row r="60" spans="6:10" ht="15.75" thickBot="1" x14ac:dyDescent="0.3">
      <c r="F60" s="60" t="s">
        <v>202</v>
      </c>
      <c r="G60" s="68">
        <v>84732.39</v>
      </c>
      <c r="H60" s="68">
        <v>103407.51</v>
      </c>
      <c r="I60" s="55">
        <f t="shared" si="2"/>
        <v>-18675.119999999995</v>
      </c>
      <c r="J60" s="13">
        <f t="shared" si="3"/>
        <v>-0.1805973279890406</v>
      </c>
    </row>
    <row r="61" spans="6:10" ht="15.75" thickBot="1" x14ac:dyDescent="0.3">
      <c r="F61" s="60" t="s">
        <v>203</v>
      </c>
      <c r="G61" s="65">
        <v>27512.29</v>
      </c>
      <c r="H61" s="65">
        <v>44884.01</v>
      </c>
      <c r="I61" s="55">
        <f t="shared" si="2"/>
        <v>-17371.72</v>
      </c>
      <c r="J61" s="13">
        <f t="shared" si="3"/>
        <v>-0.38703582857235796</v>
      </c>
    </row>
    <row r="62" spans="6:10" ht="15.75" thickBot="1" x14ac:dyDescent="0.3">
      <c r="F62" s="60" t="s">
        <v>590</v>
      </c>
      <c r="G62" s="70">
        <f>2027+519.57</f>
        <v>2546.5700000000002</v>
      </c>
      <c r="H62" s="70">
        <v>0</v>
      </c>
      <c r="I62" s="55">
        <f t="shared" ref="I62" si="5">+G62-H62</f>
        <v>2546.5700000000002</v>
      </c>
      <c r="J62" s="13">
        <v>1</v>
      </c>
    </row>
    <row r="63" spans="6:10" ht="15.75" thickBot="1" x14ac:dyDescent="0.3">
      <c r="F63" s="60" t="s">
        <v>204</v>
      </c>
      <c r="G63" s="70">
        <v>0</v>
      </c>
      <c r="H63" s="70">
        <v>5360.58</v>
      </c>
      <c r="I63" s="55">
        <f t="shared" si="2"/>
        <v>-5360.58</v>
      </c>
      <c r="J63" s="13">
        <f t="shared" si="3"/>
        <v>-1</v>
      </c>
    </row>
    <row r="64" spans="6:10" ht="15.75" thickBot="1" x14ac:dyDescent="0.3">
      <c r="F64" s="64" t="s">
        <v>16</v>
      </c>
      <c r="G64" s="67">
        <f>SUM(G60:G63)</f>
        <v>114791.25</v>
      </c>
      <c r="H64" s="67">
        <f>SUM(H60:H63)</f>
        <v>153652.09999999998</v>
      </c>
      <c r="I64" s="71">
        <f t="shared" si="2"/>
        <v>-38860.849999999977</v>
      </c>
      <c r="J64" s="72">
        <f t="shared" si="3"/>
        <v>-0.25291453875345654</v>
      </c>
    </row>
    <row r="65" spans="6:10" ht="15.75" thickBot="1" x14ac:dyDescent="0.3">
      <c r="F65" s="66" t="s">
        <v>205</v>
      </c>
      <c r="G65" s="67">
        <f>+G55+G59+G64</f>
        <v>1589145.2000000002</v>
      </c>
      <c r="H65" s="67">
        <f>+H55+H59+H64</f>
        <v>1123052.8799999999</v>
      </c>
      <c r="I65" s="71">
        <f t="shared" si="2"/>
        <v>466092.3200000003</v>
      </c>
      <c r="J65" s="73">
        <f t="shared" si="3"/>
        <v>0.41502259448370793</v>
      </c>
    </row>
    <row r="66" spans="6:10" ht="15.75" thickBot="1" x14ac:dyDescent="0.3">
      <c r="F66" s="60" t="s">
        <v>206</v>
      </c>
      <c r="G66" s="68">
        <v>843984</v>
      </c>
      <c r="H66" s="68">
        <v>815508.41</v>
      </c>
      <c r="I66" s="55">
        <f t="shared" si="2"/>
        <v>28475.589999999967</v>
      </c>
      <c r="J66" s="25">
        <f t="shared" si="3"/>
        <v>3.4917592082220179E-2</v>
      </c>
    </row>
    <row r="67" spans="6:10" ht="15.75" thickBot="1" x14ac:dyDescent="0.3">
      <c r="F67" s="60" t="s">
        <v>207</v>
      </c>
      <c r="G67" s="65">
        <v>171042.05</v>
      </c>
      <c r="H67" s="65">
        <v>154885.51</v>
      </c>
      <c r="I67" s="55">
        <f t="shared" si="2"/>
        <v>16156.539999999979</v>
      </c>
      <c r="J67" s="25">
        <f t="shared" si="3"/>
        <v>0.10431279207461033</v>
      </c>
    </row>
    <row r="68" spans="6:10" ht="15.75" thickBot="1" x14ac:dyDescent="0.3">
      <c r="F68" s="60" t="s">
        <v>591</v>
      </c>
      <c r="G68" s="70">
        <v>16937.57</v>
      </c>
      <c r="H68" s="70">
        <v>0</v>
      </c>
      <c r="I68" s="55">
        <f t="shared" si="2"/>
        <v>16937.57</v>
      </c>
      <c r="J68" s="25">
        <v>1</v>
      </c>
    </row>
    <row r="69" spans="6:10" ht="15.75" thickBot="1" x14ac:dyDescent="0.3">
      <c r="F69" s="61" t="s">
        <v>199</v>
      </c>
      <c r="G69" s="70">
        <v>0</v>
      </c>
      <c r="H69" s="70">
        <v>68689.83</v>
      </c>
      <c r="I69" s="55">
        <f t="shared" si="2"/>
        <v>-68689.83</v>
      </c>
      <c r="J69" s="13">
        <f t="shared" si="3"/>
        <v>-1</v>
      </c>
    </row>
    <row r="70" spans="6:10" ht="15.75" thickBot="1" x14ac:dyDescent="0.3">
      <c r="F70" s="62" t="s">
        <v>16</v>
      </c>
      <c r="G70" s="67">
        <f>SUM(G66:G69)</f>
        <v>1031963.62</v>
      </c>
      <c r="H70" s="67">
        <f>SUM(H66:H69)</f>
        <v>1039083.75</v>
      </c>
      <c r="I70" s="56">
        <f t="shared" si="2"/>
        <v>-7120.1300000000047</v>
      </c>
      <c r="J70" s="14">
        <f t="shared" si="3"/>
        <v>-6.8523158022632969E-3</v>
      </c>
    </row>
    <row r="71" spans="6:10" ht="15.75" thickBot="1" x14ac:dyDescent="0.3">
      <c r="F71" s="60" t="s">
        <v>208</v>
      </c>
      <c r="G71" s="68">
        <v>172654.73</v>
      </c>
      <c r="H71" s="68">
        <v>124253.84</v>
      </c>
      <c r="I71" s="55">
        <f t="shared" si="2"/>
        <v>48400.890000000014</v>
      </c>
      <c r="J71" s="25">
        <f t="shared" si="3"/>
        <v>0.38953234765219341</v>
      </c>
    </row>
    <row r="72" spans="6:10" ht="15.75" thickBot="1" x14ac:dyDescent="0.3">
      <c r="F72" s="60" t="s">
        <v>209</v>
      </c>
      <c r="G72" s="65">
        <v>42928.98</v>
      </c>
      <c r="H72" s="65">
        <v>27919.23</v>
      </c>
      <c r="I72" s="55">
        <f t="shared" si="2"/>
        <v>15009.750000000004</v>
      </c>
      <c r="J72" s="25">
        <f t="shared" si="3"/>
        <v>0.53761332243045401</v>
      </c>
    </row>
    <row r="73" spans="6:10" ht="15.75" thickBot="1" x14ac:dyDescent="0.3">
      <c r="F73" s="60" t="s">
        <v>558</v>
      </c>
      <c r="G73" s="70">
        <f>1199.63+1114.79</f>
        <v>2314.42</v>
      </c>
      <c r="H73" s="70">
        <v>178.55</v>
      </c>
      <c r="I73" s="55">
        <f t="shared" si="2"/>
        <v>2135.87</v>
      </c>
      <c r="J73" s="25">
        <f t="shared" si="3"/>
        <v>11.962307476897227</v>
      </c>
    </row>
    <row r="74" spans="6:10" ht="15.75" thickBot="1" x14ac:dyDescent="0.3">
      <c r="F74" s="61" t="s">
        <v>178</v>
      </c>
      <c r="G74" s="70">
        <v>0</v>
      </c>
      <c r="H74" s="70">
        <v>7336</v>
      </c>
      <c r="I74" s="55">
        <f t="shared" ref="I74:I77" si="6">+G74-H74</f>
        <v>-7336</v>
      </c>
      <c r="J74" s="13">
        <f t="shared" ref="J74:J77" si="7">((I74*100)/H74)/100</f>
        <v>-1</v>
      </c>
    </row>
    <row r="75" spans="6:10" ht="15.75" thickBot="1" x14ac:dyDescent="0.3">
      <c r="F75" s="62" t="s">
        <v>16</v>
      </c>
      <c r="G75" s="67">
        <f>SUM(G71:G74)</f>
        <v>217898.13000000003</v>
      </c>
      <c r="H75" s="67">
        <f>SUM(H71:H74)</f>
        <v>159687.62</v>
      </c>
      <c r="I75" s="71">
        <f t="shared" si="6"/>
        <v>58210.510000000038</v>
      </c>
      <c r="J75" s="28">
        <f t="shared" si="7"/>
        <v>0.36452738164674281</v>
      </c>
    </row>
    <row r="76" spans="6:10" ht="15.75" thickBot="1" x14ac:dyDescent="0.3">
      <c r="F76" s="59" t="s">
        <v>210</v>
      </c>
      <c r="G76" s="67">
        <f>+G70+G75</f>
        <v>1249861.75</v>
      </c>
      <c r="H76" s="67">
        <f>+H70+H75</f>
        <v>1198771.3700000001</v>
      </c>
      <c r="I76" s="71">
        <f t="shared" si="6"/>
        <v>51090.379999999888</v>
      </c>
      <c r="J76" s="73">
        <f t="shared" si="7"/>
        <v>4.2618952436276392E-2</v>
      </c>
    </row>
    <row r="77" spans="6:10" ht="15.75" thickBot="1" x14ac:dyDescent="0.3">
      <c r="F77" s="59" t="s">
        <v>211</v>
      </c>
      <c r="G77" s="67">
        <f>+G14+G16+G27+G38+G49+G65+G76+G15</f>
        <v>7476699.5899999999</v>
      </c>
      <c r="H77" s="67">
        <f>+H14+H16+H27+H38+H49+H65+H76+H15</f>
        <v>6916797.8199999994</v>
      </c>
      <c r="I77" s="71">
        <f t="shared" si="6"/>
        <v>559901.77000000048</v>
      </c>
      <c r="J77" s="73">
        <f t="shared" si="7"/>
        <v>8.0948118561603485E-2</v>
      </c>
    </row>
    <row r="79" spans="6:10" ht="15.75" thickBot="1" x14ac:dyDescent="0.3"/>
    <row r="80" spans="6:10" ht="15.75" thickBot="1" x14ac:dyDescent="0.3">
      <c r="F80" s="168" t="s">
        <v>169</v>
      </c>
      <c r="G80" s="161">
        <v>2022</v>
      </c>
      <c r="H80" s="161">
        <v>2021</v>
      </c>
      <c r="I80" s="163" t="s">
        <v>585</v>
      </c>
      <c r="J80" s="164"/>
    </row>
    <row r="81" spans="6:10" ht="15.75" thickBot="1" x14ac:dyDescent="0.3">
      <c r="F81" s="169"/>
      <c r="G81" s="162"/>
      <c r="H81" s="162"/>
      <c r="I81" s="3" t="s">
        <v>2</v>
      </c>
      <c r="J81" s="3" t="s">
        <v>3</v>
      </c>
    </row>
    <row r="82" spans="6:10" ht="15.75" thickBot="1" x14ac:dyDescent="0.3">
      <c r="F82" s="4" t="s">
        <v>212</v>
      </c>
      <c r="G82" s="11">
        <f>+G26+G37+G48+G55+G64+G70+G15+G16</f>
        <v>6541443.0600000005</v>
      </c>
      <c r="H82" s="11">
        <f>+H26+H37+H48+H55+H70+H16+H15</f>
        <v>6327127.9100000001</v>
      </c>
      <c r="I82" s="55">
        <f t="shared" ref="I82:I84" si="8">+G82-H82</f>
        <v>214315.15000000037</v>
      </c>
      <c r="J82" s="13">
        <f t="shared" ref="J82:J84" si="9">((I82*100)/H82)/100</f>
        <v>3.3872422534919219E-2</v>
      </c>
    </row>
    <row r="83" spans="6:10" ht="15.75" thickBot="1" x14ac:dyDescent="0.3">
      <c r="F83" s="4" t="s">
        <v>213</v>
      </c>
      <c r="G83" s="11">
        <f>+G21+G32+G43+G59+G75+G14</f>
        <v>935256.53</v>
      </c>
      <c r="H83" s="11">
        <f>+H14+H21+H32+H43+H59+H64+H75</f>
        <v>589669.90999999992</v>
      </c>
      <c r="I83" s="55">
        <f t="shared" si="8"/>
        <v>345586.62000000011</v>
      </c>
      <c r="J83" s="13">
        <f t="shared" si="9"/>
        <v>0.58606792400175245</v>
      </c>
    </row>
    <row r="84" spans="6:10" ht="15.75" thickBot="1" x14ac:dyDescent="0.3">
      <c r="F84" s="24" t="s">
        <v>16</v>
      </c>
      <c r="G84" s="12">
        <f>SUM(G82:G83)</f>
        <v>7476699.5900000008</v>
      </c>
      <c r="H84" s="12">
        <f>SUM(H82:H83)</f>
        <v>6916797.8200000003</v>
      </c>
      <c r="I84" s="56">
        <f t="shared" si="8"/>
        <v>559901.77000000048</v>
      </c>
      <c r="J84" s="28">
        <f t="shared" si="9"/>
        <v>8.0948118561603485E-2</v>
      </c>
    </row>
    <row r="86" spans="6:10" ht="15.75" thickBot="1" x14ac:dyDescent="0.3"/>
    <row r="87" spans="6:10" ht="15.75" thickBot="1" x14ac:dyDescent="0.3">
      <c r="F87" s="168" t="s">
        <v>169</v>
      </c>
      <c r="G87" s="161">
        <v>2022</v>
      </c>
      <c r="H87" s="161">
        <v>2021</v>
      </c>
      <c r="I87" s="163" t="s">
        <v>585</v>
      </c>
      <c r="J87" s="164"/>
    </row>
    <row r="88" spans="6:10" ht="15.75" thickBot="1" x14ac:dyDescent="0.3">
      <c r="F88" s="169"/>
      <c r="G88" s="162"/>
      <c r="H88" s="162"/>
      <c r="I88" s="3" t="s">
        <v>2</v>
      </c>
      <c r="J88" s="3" t="s">
        <v>3</v>
      </c>
    </row>
    <row r="89" spans="6:10" ht="15.75" thickBot="1" x14ac:dyDescent="0.3">
      <c r="F89" s="4" t="s">
        <v>577</v>
      </c>
      <c r="G89" s="6">
        <f>+G22+G33+G44+G50+G60+G66+G35+G53+G24+G62+G68+G41</f>
        <v>4908950.450000002</v>
      </c>
      <c r="H89" s="6">
        <f>+H22+H33+H44+H50+H60+H66+H35+H53</f>
        <v>4980247.3000000007</v>
      </c>
      <c r="I89" s="55">
        <f t="shared" ref="I89:I96" si="10">+G89-H89</f>
        <v>-71296.849999998696</v>
      </c>
      <c r="J89" s="25">
        <f t="shared" ref="J89:J92" si="11">((I89*100)/H89)/100</f>
        <v>-1.43159256368652E-2</v>
      </c>
    </row>
    <row r="90" spans="6:10" ht="15.75" thickBot="1" x14ac:dyDescent="0.3">
      <c r="F90" s="4" t="s">
        <v>578</v>
      </c>
      <c r="G90" s="6">
        <f>+G23+G34+G45+G51+G52+G61+G67</f>
        <v>934145.02</v>
      </c>
      <c r="H90" s="6">
        <f>+H23+H34+H45+H51+H52+H61+H67</f>
        <v>1015595.2699999999</v>
      </c>
      <c r="I90" s="55">
        <f t="shared" si="10"/>
        <v>-81450.249999999884</v>
      </c>
      <c r="J90" s="13">
        <f t="shared" si="11"/>
        <v>-8.0199516880380808E-2</v>
      </c>
    </row>
    <row r="91" spans="6:10" ht="15.75" thickBot="1" x14ac:dyDescent="0.3">
      <c r="F91" s="4" t="s">
        <v>172</v>
      </c>
      <c r="G91" s="6">
        <f>+G16</f>
        <v>115577.98</v>
      </c>
      <c r="H91" s="6">
        <f>+H16</f>
        <v>70699.820000000007</v>
      </c>
      <c r="I91" s="55">
        <f t="shared" si="10"/>
        <v>44878.159999999989</v>
      </c>
      <c r="J91" s="25">
        <f t="shared" si="11"/>
        <v>0.63477049870848301</v>
      </c>
    </row>
    <row r="92" spans="6:10" ht="15.75" thickBot="1" x14ac:dyDescent="0.3">
      <c r="F92" s="4" t="s">
        <v>579</v>
      </c>
      <c r="G92" s="6">
        <f>+G25+G36+G47+G54+G63+G69</f>
        <v>524359.51</v>
      </c>
      <c r="H92" s="6">
        <f>+H25+H36+H47+H54+H63+H69</f>
        <v>403292.62000000005</v>
      </c>
      <c r="I92" s="55">
        <f t="shared" si="10"/>
        <v>121066.88999999996</v>
      </c>
      <c r="J92" s="25">
        <f t="shared" si="11"/>
        <v>0.30019614541917466</v>
      </c>
    </row>
    <row r="93" spans="6:10" ht="15.75" thickBot="1" x14ac:dyDescent="0.3">
      <c r="F93" s="4" t="s">
        <v>580</v>
      </c>
      <c r="G93" s="6">
        <f>+G14+G17+G28+G39+G56+G71+G30+G73+G19+G46+0</f>
        <v>778440.14</v>
      </c>
      <c r="H93" s="6">
        <f>+H14+H17+H28+H39+H56+H71+H30+H73</f>
        <v>358119.19</v>
      </c>
      <c r="I93" s="55">
        <f t="shared" ref="I93:I95" si="12">+G93-H93</f>
        <v>420320.95</v>
      </c>
      <c r="J93" s="25">
        <f t="shared" ref="J93:J95" si="13">((I93*100)/H93)/100</f>
        <v>1.173690105799692</v>
      </c>
    </row>
    <row r="94" spans="6:10" ht="15.75" thickBot="1" x14ac:dyDescent="0.3">
      <c r="F94" s="4" t="s">
        <v>581</v>
      </c>
      <c r="G94" s="6">
        <f>+G18++G29+G40+G57+G72</f>
        <v>159812.38999999998</v>
      </c>
      <c r="H94" s="6">
        <f>+H18++H29+H40+H57+H72</f>
        <v>68647.070000000007</v>
      </c>
      <c r="I94" s="55">
        <f t="shared" si="12"/>
        <v>91165.319999999978</v>
      </c>
      <c r="J94" s="13">
        <f t="shared" si="13"/>
        <v>1.3280292953508428</v>
      </c>
    </row>
    <row r="95" spans="6:10" ht="15.75" thickBot="1" x14ac:dyDescent="0.3">
      <c r="F95" s="4" t="s">
        <v>582</v>
      </c>
      <c r="G95" s="6">
        <f>+G20+G31+G42+G58+G74</f>
        <v>0</v>
      </c>
      <c r="H95" s="6">
        <f>+H20+H31+H42+H58+H74</f>
        <v>9251.5499999999993</v>
      </c>
      <c r="I95" s="55">
        <f t="shared" si="12"/>
        <v>-9251.5499999999993</v>
      </c>
      <c r="J95" s="25">
        <f t="shared" si="13"/>
        <v>-1</v>
      </c>
    </row>
    <row r="96" spans="6:10" ht="15.75" thickBot="1" x14ac:dyDescent="0.3">
      <c r="F96" s="4" t="s">
        <v>340</v>
      </c>
      <c r="G96" s="6">
        <f>+G15</f>
        <v>55414.1</v>
      </c>
      <c r="H96" s="6">
        <f>+H15</f>
        <v>10945</v>
      </c>
      <c r="I96" s="55">
        <f t="shared" si="10"/>
        <v>44469.1</v>
      </c>
      <c r="J96" s="25">
        <v>1</v>
      </c>
    </row>
    <row r="97" spans="6:10" ht="15.75" thickBot="1" x14ac:dyDescent="0.3">
      <c r="F97" s="37" t="s">
        <v>16</v>
      </c>
      <c r="G97" s="38">
        <f>SUM(G89:G96)</f>
        <v>7476699.5900000017</v>
      </c>
      <c r="H97" s="38">
        <f>SUM(H89:H96)</f>
        <v>6916797.8200000012</v>
      </c>
      <c r="I97" s="56">
        <f>+G97-H97</f>
        <v>559901.77000000048</v>
      </c>
      <c r="J97" s="28">
        <f t="shared" ref="J97" si="14">((I97*100)/H97)/100</f>
        <v>8.0948118561603458E-2</v>
      </c>
    </row>
    <row r="99" spans="6:10" ht="15.75" thickBot="1" x14ac:dyDescent="0.3"/>
    <row r="100" spans="6:10" ht="15.75" thickBot="1" x14ac:dyDescent="0.3">
      <c r="F100" s="168" t="s">
        <v>583</v>
      </c>
      <c r="G100" s="161">
        <v>2022</v>
      </c>
      <c r="H100" s="161">
        <v>2021</v>
      </c>
      <c r="I100" s="163" t="s">
        <v>585</v>
      </c>
      <c r="J100" s="164"/>
    </row>
    <row r="101" spans="6:10" ht="15.75" thickBot="1" x14ac:dyDescent="0.3">
      <c r="F101" s="169"/>
      <c r="G101" s="162"/>
      <c r="H101" s="162"/>
      <c r="I101" s="3" t="s">
        <v>2</v>
      </c>
      <c r="J101" s="3" t="s">
        <v>3</v>
      </c>
    </row>
    <row r="102" spans="6:10" ht="15.75" thickBot="1" x14ac:dyDescent="0.3">
      <c r="F102" s="4" t="s">
        <v>577</v>
      </c>
      <c r="G102" s="6">
        <f>+G89</f>
        <v>4908950.450000002</v>
      </c>
      <c r="H102" s="6">
        <v>4980247.3000000007</v>
      </c>
      <c r="I102" s="55">
        <f t="shared" ref="I102:I106" si="15">+G102-H102</f>
        <v>-71296.849999998696</v>
      </c>
      <c r="J102" s="25">
        <f t="shared" ref="J102:J105" si="16">((I102*100)/H102)/100</f>
        <v>-1.43159256368652E-2</v>
      </c>
    </row>
    <row r="103" spans="6:10" ht="15.75" thickBot="1" x14ac:dyDescent="0.3">
      <c r="F103" s="4" t="s">
        <v>578</v>
      </c>
      <c r="G103" s="6">
        <f>+G90</f>
        <v>934145.02</v>
      </c>
      <c r="H103" s="6">
        <v>1015595.2699999999</v>
      </c>
      <c r="I103" s="55">
        <f t="shared" si="15"/>
        <v>-81450.249999999884</v>
      </c>
      <c r="J103" s="13">
        <f t="shared" si="16"/>
        <v>-8.0199516880380808E-2</v>
      </c>
    </row>
    <row r="104" spans="6:10" ht="15.75" thickBot="1" x14ac:dyDescent="0.3">
      <c r="F104" s="4" t="s">
        <v>172</v>
      </c>
      <c r="G104" s="6">
        <f>+G91</f>
        <v>115577.98</v>
      </c>
      <c r="H104" s="6">
        <v>70699.820000000007</v>
      </c>
      <c r="I104" s="55">
        <f t="shared" si="15"/>
        <v>44878.159999999989</v>
      </c>
      <c r="J104" s="25">
        <f t="shared" si="16"/>
        <v>0.63477049870848301</v>
      </c>
    </row>
    <row r="105" spans="6:10" ht="15.75" thickBot="1" x14ac:dyDescent="0.3">
      <c r="F105" s="4" t="s">
        <v>579</v>
      </c>
      <c r="G105" s="6">
        <f>+G92</f>
        <v>524359.51</v>
      </c>
      <c r="H105" s="6">
        <v>403292.62000000005</v>
      </c>
      <c r="I105" s="55">
        <f t="shared" si="15"/>
        <v>121066.88999999996</v>
      </c>
      <c r="J105" s="25">
        <f t="shared" si="16"/>
        <v>0.30019614541917466</v>
      </c>
    </row>
    <row r="106" spans="6:10" ht="15.75" thickBot="1" x14ac:dyDescent="0.3">
      <c r="F106" s="4" t="s">
        <v>340</v>
      </c>
      <c r="G106" s="6">
        <f>+G96</f>
        <v>55414.1</v>
      </c>
      <c r="H106" s="6">
        <v>10945</v>
      </c>
      <c r="I106" s="55">
        <f t="shared" si="15"/>
        <v>44469.1</v>
      </c>
      <c r="J106" s="25">
        <v>1</v>
      </c>
    </row>
    <row r="107" spans="6:10" ht="15.75" thickBot="1" x14ac:dyDescent="0.3">
      <c r="F107" s="37" t="s">
        <v>16</v>
      </c>
      <c r="G107" s="38">
        <f>SUM(G102:G106)</f>
        <v>6538447.0600000024</v>
      </c>
      <c r="H107" s="38">
        <f>SUM(H102:H106)</f>
        <v>6480780.0100000007</v>
      </c>
      <c r="I107" s="56">
        <f>+G107-H107</f>
        <v>57667.050000001676</v>
      </c>
      <c r="J107" s="28">
        <f t="shared" ref="J107" si="17">((I107*100)/H107)/100</f>
        <v>8.898165021960322E-3</v>
      </c>
    </row>
    <row r="109" spans="6:10" ht="15.75" thickBot="1" x14ac:dyDescent="0.3"/>
    <row r="110" spans="6:10" ht="15.75" thickBot="1" x14ac:dyDescent="0.3">
      <c r="F110" s="168" t="s">
        <v>584</v>
      </c>
      <c r="G110" s="161">
        <v>2022</v>
      </c>
      <c r="H110" s="161">
        <v>2021</v>
      </c>
      <c r="I110" s="163" t="s">
        <v>585</v>
      </c>
      <c r="J110" s="164"/>
    </row>
    <row r="111" spans="6:10" ht="15.75" thickBot="1" x14ac:dyDescent="0.3">
      <c r="F111" s="169"/>
      <c r="G111" s="162"/>
      <c r="H111" s="162"/>
      <c r="I111" s="3" t="s">
        <v>2</v>
      </c>
      <c r="J111" s="3" t="s">
        <v>3</v>
      </c>
    </row>
    <row r="112" spans="6:10" ht="15.75" thickBot="1" x14ac:dyDescent="0.3">
      <c r="F112" s="4" t="s">
        <v>580</v>
      </c>
      <c r="G112" s="6">
        <f>+G93+0</f>
        <v>778440.14</v>
      </c>
      <c r="H112" s="6">
        <v>358119.19</v>
      </c>
      <c r="I112" s="55">
        <f t="shared" ref="I112:I114" si="18">+G112-H112</f>
        <v>420320.95</v>
      </c>
      <c r="J112" s="25">
        <f t="shared" ref="J112:J114" si="19">((I112*100)/H112)/100</f>
        <v>1.173690105799692</v>
      </c>
    </row>
    <row r="113" spans="6:10" ht="15.75" thickBot="1" x14ac:dyDescent="0.3">
      <c r="F113" s="4" t="s">
        <v>581</v>
      </c>
      <c r="G113" s="6">
        <f>+G94</f>
        <v>159812.38999999998</v>
      </c>
      <c r="H113" s="6">
        <v>68647.070000000007</v>
      </c>
      <c r="I113" s="55">
        <f t="shared" si="18"/>
        <v>91165.319999999978</v>
      </c>
      <c r="J113" s="13">
        <f t="shared" si="19"/>
        <v>1.3280292953508428</v>
      </c>
    </row>
    <row r="114" spans="6:10" ht="15.75" thickBot="1" x14ac:dyDescent="0.3">
      <c r="F114" s="4" t="s">
        <v>582</v>
      </c>
      <c r="G114" s="6">
        <v>0</v>
      </c>
      <c r="H114" s="6">
        <v>9251.5499999999993</v>
      </c>
      <c r="I114" s="55">
        <f t="shared" si="18"/>
        <v>-9251.5499999999993</v>
      </c>
      <c r="J114" s="25">
        <f t="shared" si="19"/>
        <v>-1</v>
      </c>
    </row>
    <row r="115" spans="6:10" ht="15.75" thickBot="1" x14ac:dyDescent="0.3">
      <c r="F115" s="37" t="s">
        <v>16</v>
      </c>
      <c r="G115" s="38">
        <f>SUM(G112:G114)</f>
        <v>938252.53</v>
      </c>
      <c r="H115" s="38">
        <f>SUM(H112:H114)</f>
        <v>436017.81</v>
      </c>
      <c r="I115" s="56">
        <f>+G115-H115</f>
        <v>502234.72000000003</v>
      </c>
      <c r="J115" s="28">
        <f t="shared" ref="J115" si="20">((I115*100)/H115)/100</f>
        <v>1.1518674432129274</v>
      </c>
    </row>
    <row r="117" spans="6:10" x14ac:dyDescent="0.25">
      <c r="G117" s="5">
        <f>+G107+G115</f>
        <v>7476699.5900000026</v>
      </c>
      <c r="H117" s="5">
        <f>+H107+H115</f>
        <v>6916797.8200000003</v>
      </c>
    </row>
    <row r="118" spans="6:10" x14ac:dyDescent="0.25">
      <c r="G118" s="5">
        <f>+G97-G117</f>
        <v>0</v>
      </c>
      <c r="H118" s="5">
        <f>+H97-H117</f>
        <v>0</v>
      </c>
    </row>
  </sheetData>
  <mergeCells count="24">
    <mergeCell ref="F80:F81"/>
    <mergeCell ref="G80:G81"/>
    <mergeCell ref="H80:H81"/>
    <mergeCell ref="I80:J80"/>
    <mergeCell ref="F2:F3"/>
    <mergeCell ref="G2:G3"/>
    <mergeCell ref="H2:H3"/>
    <mergeCell ref="I2:J2"/>
    <mergeCell ref="F12:F13"/>
    <mergeCell ref="G12:G13"/>
    <mergeCell ref="H12:H13"/>
    <mergeCell ref="I12:J12"/>
    <mergeCell ref="F110:F111"/>
    <mergeCell ref="G110:G111"/>
    <mergeCell ref="H110:H111"/>
    <mergeCell ref="I110:J110"/>
    <mergeCell ref="F87:F88"/>
    <mergeCell ref="G87:G88"/>
    <mergeCell ref="H87:H88"/>
    <mergeCell ref="I87:J87"/>
    <mergeCell ref="F100:F101"/>
    <mergeCell ref="G100:G101"/>
    <mergeCell ref="H100:H101"/>
    <mergeCell ref="I100:J10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F53"/>
  <sheetViews>
    <sheetView workbookViewId="0">
      <selection activeCell="F50" sqref="F50"/>
    </sheetView>
  </sheetViews>
  <sheetFormatPr defaultRowHeight="15" x14ac:dyDescent="0.25"/>
  <cols>
    <col min="5" max="5" width="35" bestFit="1" customWidth="1"/>
    <col min="6" max="6" width="11.7109375" bestFit="1" customWidth="1"/>
  </cols>
  <sheetData>
    <row r="6" spans="5:6" x14ac:dyDescent="0.35">
      <c r="E6" t="s">
        <v>174</v>
      </c>
      <c r="F6" s="111">
        <v>40088.93</v>
      </c>
    </row>
    <row r="7" spans="5:6" x14ac:dyDescent="0.35">
      <c r="E7" t="s">
        <v>175</v>
      </c>
      <c r="F7" s="111">
        <v>70699.820000000007</v>
      </c>
    </row>
    <row r="8" spans="5:6" x14ac:dyDescent="0.35">
      <c r="E8" t="s">
        <v>176</v>
      </c>
      <c r="F8" s="111">
        <v>40056.61</v>
      </c>
    </row>
    <row r="9" spans="5:6" x14ac:dyDescent="0.35">
      <c r="E9" t="s">
        <v>177</v>
      </c>
      <c r="F9" s="111">
        <v>9191.85</v>
      </c>
    </row>
    <row r="10" spans="5:6" x14ac:dyDescent="0.35">
      <c r="E10" t="s">
        <v>328</v>
      </c>
      <c r="F10" s="111">
        <v>1672.6</v>
      </c>
    </row>
    <row r="11" spans="5:6" x14ac:dyDescent="0.35">
      <c r="E11" t="s">
        <v>179</v>
      </c>
      <c r="F11" s="111">
        <v>1095467.54</v>
      </c>
    </row>
    <row r="12" spans="5:6" x14ac:dyDescent="0.35">
      <c r="E12" t="s">
        <v>180</v>
      </c>
      <c r="F12" s="111">
        <v>236069.97</v>
      </c>
    </row>
    <row r="13" spans="5:6" x14ac:dyDescent="0.35">
      <c r="E13" t="s">
        <v>181</v>
      </c>
      <c r="F13" s="111">
        <v>109063.26</v>
      </c>
    </row>
    <row r="14" spans="5:6" x14ac:dyDescent="0.35">
      <c r="E14" t="s">
        <v>183</v>
      </c>
      <c r="F14" s="111">
        <v>135327.26999999999</v>
      </c>
    </row>
    <row r="15" spans="5:6" x14ac:dyDescent="0.35">
      <c r="E15" t="s">
        <v>184</v>
      </c>
      <c r="F15" s="111">
        <v>28097.84</v>
      </c>
    </row>
    <row r="16" spans="5:6" x14ac:dyDescent="0.35">
      <c r="E16" t="s">
        <v>185</v>
      </c>
      <c r="F16" s="111">
        <v>2103715.52</v>
      </c>
    </row>
    <row r="17" spans="5:6" x14ac:dyDescent="0.35">
      <c r="E17" t="s">
        <v>186</v>
      </c>
      <c r="F17" s="111">
        <v>408516.99</v>
      </c>
    </row>
    <row r="18" spans="5:6" x14ac:dyDescent="0.35">
      <c r="E18" t="s">
        <v>188</v>
      </c>
      <c r="F18" s="111">
        <v>146870.67000000001</v>
      </c>
    </row>
    <row r="19" spans="5:6" x14ac:dyDescent="0.35">
      <c r="E19" t="s">
        <v>329</v>
      </c>
      <c r="F19" s="111">
        <v>8570.4</v>
      </c>
    </row>
    <row r="20" spans="5:6" x14ac:dyDescent="0.35">
      <c r="E20" t="s">
        <v>330</v>
      </c>
      <c r="F20" s="111">
        <v>1249.8499999999999</v>
      </c>
    </row>
    <row r="21" spans="5:6" x14ac:dyDescent="0.35">
      <c r="E21" t="s">
        <v>190</v>
      </c>
      <c r="F21" s="111">
        <v>14873.23</v>
      </c>
    </row>
    <row r="22" spans="5:6" x14ac:dyDescent="0.35">
      <c r="E22" t="s">
        <v>191</v>
      </c>
      <c r="F22" s="111">
        <v>2829.6</v>
      </c>
    </row>
    <row r="23" spans="5:6" x14ac:dyDescent="0.35">
      <c r="E23" t="s">
        <v>331</v>
      </c>
      <c r="F23">
        <v>242.95</v>
      </c>
    </row>
    <row r="24" spans="5:6" x14ac:dyDescent="0.35">
      <c r="E24" t="s">
        <v>192</v>
      </c>
      <c r="F24" s="111">
        <v>101951.82</v>
      </c>
    </row>
    <row r="25" spans="5:6" x14ac:dyDescent="0.35">
      <c r="E25" t="s">
        <v>193</v>
      </c>
      <c r="F25" s="111">
        <v>20136.59</v>
      </c>
    </row>
    <row r="26" spans="5:6" x14ac:dyDescent="0.35">
      <c r="E26" t="s">
        <v>194</v>
      </c>
      <c r="F26" s="111">
        <v>9335.26</v>
      </c>
    </row>
    <row r="27" spans="5:6" x14ac:dyDescent="0.35">
      <c r="E27" t="s">
        <v>332</v>
      </c>
      <c r="F27" s="111">
        <v>10945</v>
      </c>
    </row>
    <row r="28" spans="5:6" x14ac:dyDescent="0.35">
      <c r="E28" t="s">
        <v>196</v>
      </c>
      <c r="F28" s="111">
        <v>751090.45</v>
      </c>
    </row>
    <row r="29" spans="5:6" x14ac:dyDescent="0.35">
      <c r="E29" t="s">
        <v>197</v>
      </c>
      <c r="F29" s="111">
        <v>141571.71</v>
      </c>
    </row>
    <row r="30" spans="5:6" x14ac:dyDescent="0.35">
      <c r="E30" t="s">
        <v>333</v>
      </c>
      <c r="F30" s="111">
        <v>63973.02</v>
      </c>
    </row>
    <row r="31" spans="5:6" x14ac:dyDescent="0.35">
      <c r="E31" t="s">
        <v>200</v>
      </c>
      <c r="F31" s="111">
        <v>2090.91</v>
      </c>
    </row>
    <row r="32" spans="5:6" x14ac:dyDescent="0.35">
      <c r="E32" t="s">
        <v>201</v>
      </c>
      <c r="F32">
        <v>608.54999999999995</v>
      </c>
    </row>
    <row r="33" spans="5:6" x14ac:dyDescent="0.35">
      <c r="E33" t="s">
        <v>198</v>
      </c>
      <c r="F33" s="111">
        <v>9530.49</v>
      </c>
    </row>
    <row r="34" spans="5:6" x14ac:dyDescent="0.35">
      <c r="E34" t="s">
        <v>334</v>
      </c>
      <c r="F34">
        <v>535.65</v>
      </c>
    </row>
    <row r="35" spans="5:6" x14ac:dyDescent="0.35">
      <c r="E35" t="s">
        <v>202</v>
      </c>
      <c r="F35" s="111">
        <v>103407.51</v>
      </c>
    </row>
    <row r="36" spans="5:6" x14ac:dyDescent="0.35">
      <c r="E36" t="s">
        <v>203</v>
      </c>
      <c r="F36" s="111">
        <v>44884.01</v>
      </c>
    </row>
    <row r="37" spans="5:6" x14ac:dyDescent="0.35">
      <c r="E37" t="s">
        <v>204</v>
      </c>
      <c r="F37" s="111">
        <v>5360.58</v>
      </c>
    </row>
    <row r="38" spans="5:6" x14ac:dyDescent="0.25">
      <c r="E38" t="s">
        <v>206</v>
      </c>
      <c r="F38" s="111">
        <v>815508.41</v>
      </c>
    </row>
    <row r="39" spans="5:6" x14ac:dyDescent="0.25">
      <c r="E39" t="s">
        <v>207</v>
      </c>
      <c r="F39" s="111">
        <v>154885.51</v>
      </c>
    </row>
    <row r="40" spans="5:6" x14ac:dyDescent="0.25">
      <c r="E40" t="s">
        <v>335</v>
      </c>
      <c r="F40" s="111">
        <v>68689.83</v>
      </c>
    </row>
    <row r="41" spans="5:6" x14ac:dyDescent="0.25">
      <c r="E41" t="s">
        <v>208</v>
      </c>
      <c r="F41" s="111">
        <v>124253.84</v>
      </c>
    </row>
    <row r="42" spans="5:6" x14ac:dyDescent="0.25">
      <c r="E42" t="s">
        <v>209</v>
      </c>
      <c r="F42" s="111">
        <v>27919.23</v>
      </c>
    </row>
    <row r="43" spans="5:6" x14ac:dyDescent="0.25">
      <c r="E43" t="s">
        <v>336</v>
      </c>
      <c r="F43" s="111">
        <v>7336</v>
      </c>
    </row>
    <row r="44" spans="5:6" x14ac:dyDescent="0.25">
      <c r="E44" t="s">
        <v>337</v>
      </c>
      <c r="F44">
        <v>178.55</v>
      </c>
    </row>
    <row r="45" spans="5:6" x14ac:dyDescent="0.25">
      <c r="E45" s="112" t="s">
        <v>16</v>
      </c>
      <c r="F45" s="111">
        <f>SUM(F6:F44)</f>
        <v>6916797.8200000003</v>
      </c>
    </row>
    <row r="47" spans="5:6" x14ac:dyDescent="0.25">
      <c r="E47" t="s">
        <v>170</v>
      </c>
      <c r="F47" s="111">
        <f>+F6+F8+F11+F14+F16+F19+F20+F21+F24+F28+F31+F34+F35+F38+F41+F44</f>
        <v>5338366.49</v>
      </c>
    </row>
    <row r="48" spans="5:6" x14ac:dyDescent="0.25">
      <c r="E48" t="s">
        <v>338</v>
      </c>
      <c r="F48" s="111">
        <f>+F7+F9+F12+F15+F17+F22+F25+F29+F32+F33+F36+F39+F42</f>
        <v>1154942.1599999999</v>
      </c>
    </row>
    <row r="49" spans="5:6" x14ac:dyDescent="0.25">
      <c r="E49" t="s">
        <v>339</v>
      </c>
      <c r="F49" s="111">
        <f>+F10+F13+F18+F23+F26+F30+F37+F40+F43</f>
        <v>412544.1700000001</v>
      </c>
    </row>
    <row r="50" spans="5:6" x14ac:dyDescent="0.25">
      <c r="E50" t="s">
        <v>340</v>
      </c>
      <c r="F50" s="111">
        <f>+F27</f>
        <v>10945</v>
      </c>
    </row>
    <row r="51" spans="5:6" x14ac:dyDescent="0.25">
      <c r="E51" s="112" t="s">
        <v>16</v>
      </c>
      <c r="F51" s="111">
        <f>+F47+F48+F49+F50</f>
        <v>6916797.8200000003</v>
      </c>
    </row>
    <row r="53" spans="5:6" x14ac:dyDescent="0.25">
      <c r="F53" s="111">
        <f>+F51-F45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G5"/>
  <sheetViews>
    <sheetView workbookViewId="0">
      <selection activeCell="F3" sqref="F3:G5"/>
    </sheetView>
  </sheetViews>
  <sheetFormatPr defaultRowHeight="15" x14ac:dyDescent="0.25"/>
  <cols>
    <col min="6" max="6" width="41.7109375" bestFit="1" customWidth="1"/>
  </cols>
  <sheetData>
    <row r="2" spans="6:7" thickBot="1" x14ac:dyDescent="0.4"/>
    <row r="3" spans="6:7" thickBot="1" x14ac:dyDescent="0.4">
      <c r="F3" s="74" t="s">
        <v>214</v>
      </c>
      <c r="G3" s="75">
        <v>2020</v>
      </c>
    </row>
    <row r="4" spans="6:7" thickBot="1" x14ac:dyDescent="0.4">
      <c r="F4" s="4" t="s">
        <v>216</v>
      </c>
      <c r="G4" s="6">
        <v>3990</v>
      </c>
    </row>
    <row r="5" spans="6:7" thickBot="1" x14ac:dyDescent="0.4">
      <c r="F5" s="24" t="s">
        <v>215</v>
      </c>
      <c r="G5" s="10">
        <f>SUM(G4:G4)</f>
        <v>3990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M28"/>
  <sheetViews>
    <sheetView workbookViewId="0">
      <selection activeCell="L22" sqref="L22"/>
    </sheetView>
  </sheetViews>
  <sheetFormatPr defaultRowHeight="15" x14ac:dyDescent="0.25"/>
  <cols>
    <col min="6" max="6" width="42.5703125" bestFit="1" customWidth="1"/>
    <col min="12" max="12" width="34" bestFit="1" customWidth="1"/>
    <col min="13" max="13" width="10.140625" bestFit="1" customWidth="1"/>
  </cols>
  <sheetData>
    <row r="2" spans="6:10" thickBot="1" x14ac:dyDescent="0.4"/>
    <row r="3" spans="6:10" ht="15.75" thickBot="1" x14ac:dyDescent="0.3">
      <c r="F3" s="168" t="s">
        <v>217</v>
      </c>
      <c r="G3" s="161">
        <v>2021</v>
      </c>
      <c r="H3" s="161">
        <v>2020</v>
      </c>
      <c r="I3" s="163" t="s">
        <v>445</v>
      </c>
      <c r="J3" s="164"/>
    </row>
    <row r="4" spans="6:10" ht="15.75" thickBot="1" x14ac:dyDescent="0.3">
      <c r="F4" s="169"/>
      <c r="G4" s="162"/>
      <c r="H4" s="162"/>
      <c r="I4" s="3" t="s">
        <v>2</v>
      </c>
      <c r="J4" s="3" t="s">
        <v>3</v>
      </c>
    </row>
    <row r="5" spans="6:10" ht="15.75" thickBot="1" x14ac:dyDescent="0.3">
      <c r="F5" s="15" t="s">
        <v>218</v>
      </c>
      <c r="G5" s="76">
        <v>192044.55</v>
      </c>
      <c r="H5" s="76">
        <v>58978.33</v>
      </c>
      <c r="I5" s="55">
        <f t="shared" ref="I5:I18" si="0">+G5-H5</f>
        <v>133066.21999999997</v>
      </c>
      <c r="J5" s="25">
        <f t="shared" ref="J5:J18" si="1">((I5*100)/H5)/100</f>
        <v>2.2561883322230378</v>
      </c>
    </row>
    <row r="6" spans="6:10" ht="15.75" thickBot="1" x14ac:dyDescent="0.3">
      <c r="F6" s="15" t="s">
        <v>219</v>
      </c>
      <c r="G6" s="76">
        <v>13339.86</v>
      </c>
      <c r="H6" s="76">
        <v>39774.980000000003</v>
      </c>
      <c r="I6" s="55">
        <f t="shared" si="0"/>
        <v>-26435.120000000003</v>
      </c>
      <c r="J6" s="13">
        <f t="shared" si="1"/>
        <v>-0.6646168018186307</v>
      </c>
    </row>
    <row r="7" spans="6:10" ht="15.75" thickBot="1" x14ac:dyDescent="0.3">
      <c r="F7" s="15" t="s">
        <v>220</v>
      </c>
      <c r="G7" s="76">
        <v>0</v>
      </c>
      <c r="H7" s="76">
        <v>1.48</v>
      </c>
      <c r="I7" s="55">
        <f t="shared" si="0"/>
        <v>-1.48</v>
      </c>
      <c r="J7" s="13">
        <f t="shared" si="1"/>
        <v>-1</v>
      </c>
    </row>
    <row r="8" spans="6:10" ht="15.75" thickBot="1" x14ac:dyDescent="0.3">
      <c r="F8" s="15" t="s">
        <v>221</v>
      </c>
      <c r="G8" s="76">
        <v>13777</v>
      </c>
      <c r="H8" s="76">
        <v>0</v>
      </c>
      <c r="I8" s="55">
        <f t="shared" si="0"/>
        <v>13777</v>
      </c>
      <c r="J8" s="25">
        <v>1</v>
      </c>
    </row>
    <row r="9" spans="6:10" ht="15.75" thickBot="1" x14ac:dyDescent="0.3">
      <c r="F9" s="145" t="s">
        <v>222</v>
      </c>
      <c r="G9" s="76">
        <v>13904</v>
      </c>
      <c r="H9" s="76">
        <v>12991</v>
      </c>
      <c r="I9" s="55">
        <f t="shared" si="0"/>
        <v>913</v>
      </c>
      <c r="J9" s="25">
        <f t="shared" si="1"/>
        <v>7.027942421676546E-2</v>
      </c>
    </row>
    <row r="10" spans="6:10" ht="15.75" thickBot="1" x14ac:dyDescent="0.3">
      <c r="F10" s="15" t="s">
        <v>223</v>
      </c>
      <c r="G10" s="76">
        <v>3516.41</v>
      </c>
      <c r="H10" s="76">
        <v>1241.5899999999999</v>
      </c>
      <c r="I10" s="55">
        <f t="shared" si="0"/>
        <v>2274.8199999999997</v>
      </c>
      <c r="J10" s="25">
        <f t="shared" si="1"/>
        <v>1.8321829267310463</v>
      </c>
    </row>
    <row r="11" spans="6:10" ht="15.75" thickBot="1" x14ac:dyDescent="0.3">
      <c r="F11" s="15" t="s">
        <v>230</v>
      </c>
      <c r="G11" s="76">
        <v>0</v>
      </c>
      <c r="H11" s="76">
        <v>45.33</v>
      </c>
      <c r="I11" s="55">
        <f t="shared" si="0"/>
        <v>-45.33</v>
      </c>
      <c r="J11" s="13">
        <f t="shared" si="1"/>
        <v>-1</v>
      </c>
    </row>
    <row r="12" spans="6:10" ht="15.75" thickBot="1" x14ac:dyDescent="0.3">
      <c r="F12" s="15" t="s">
        <v>224</v>
      </c>
      <c r="G12" s="76">
        <v>2888.61</v>
      </c>
      <c r="H12" s="76">
        <v>2001.02</v>
      </c>
      <c r="I12" s="55">
        <f t="shared" si="0"/>
        <v>887.59000000000015</v>
      </c>
      <c r="J12" s="25">
        <f t="shared" si="1"/>
        <v>0.4435687799222397</v>
      </c>
    </row>
    <row r="13" spans="6:10" ht="15.75" thickBot="1" x14ac:dyDescent="0.3">
      <c r="F13" s="15" t="s">
        <v>225</v>
      </c>
      <c r="G13" s="76">
        <v>739.5</v>
      </c>
      <c r="H13" s="76">
        <v>0</v>
      </c>
      <c r="I13" s="55">
        <f t="shared" si="0"/>
        <v>739.5</v>
      </c>
      <c r="J13" s="25">
        <v>1</v>
      </c>
    </row>
    <row r="14" spans="6:10" ht="15.75" thickBot="1" x14ac:dyDescent="0.3">
      <c r="F14" s="15" t="s">
        <v>226</v>
      </c>
      <c r="G14" s="76">
        <v>1643</v>
      </c>
      <c r="H14" s="76">
        <v>166</v>
      </c>
      <c r="I14" s="55">
        <f t="shared" si="0"/>
        <v>1477</v>
      </c>
      <c r="J14" s="25">
        <f t="shared" si="1"/>
        <v>8.8975903614457827</v>
      </c>
    </row>
    <row r="15" spans="6:10" thickBot="1" x14ac:dyDescent="0.4">
      <c r="F15" s="15" t="s">
        <v>227</v>
      </c>
      <c r="G15" s="76">
        <v>221.59</v>
      </c>
      <c r="H15" s="76">
        <v>183.23</v>
      </c>
      <c r="I15" s="55">
        <f t="shared" si="0"/>
        <v>38.360000000000014</v>
      </c>
      <c r="J15" s="25">
        <f t="shared" si="1"/>
        <v>0.20935436336844412</v>
      </c>
    </row>
    <row r="16" spans="6:10" thickBot="1" x14ac:dyDescent="0.4">
      <c r="F16" s="15" t="s">
        <v>228</v>
      </c>
      <c r="G16" s="76">
        <v>98.7</v>
      </c>
      <c r="H16" s="76">
        <v>80.7</v>
      </c>
      <c r="I16" s="55">
        <f t="shared" si="0"/>
        <v>18</v>
      </c>
      <c r="J16" s="25">
        <f t="shared" si="1"/>
        <v>0.22304832713754646</v>
      </c>
    </row>
    <row r="17" spans="6:13" ht="15.75" thickBot="1" x14ac:dyDescent="0.3">
      <c r="F17" s="57" t="s">
        <v>229</v>
      </c>
      <c r="G17" s="77">
        <v>613.91999999999996</v>
      </c>
      <c r="H17" s="77">
        <v>0</v>
      </c>
      <c r="I17" s="55">
        <f t="shared" si="0"/>
        <v>613.91999999999996</v>
      </c>
      <c r="J17" s="25">
        <v>1</v>
      </c>
    </row>
    <row r="18" spans="6:13" ht="15.75" thickBot="1" x14ac:dyDescent="0.3">
      <c r="F18" s="58" t="s">
        <v>16</v>
      </c>
      <c r="G18" s="78">
        <f>SUM(G5:G17)</f>
        <v>242787.13999999998</v>
      </c>
      <c r="H18" s="78">
        <f>SUM(H5:H17)</f>
        <v>115463.65999999999</v>
      </c>
      <c r="I18" s="54">
        <f t="shared" si="0"/>
        <v>127323.48</v>
      </c>
      <c r="J18" s="28">
        <f t="shared" si="1"/>
        <v>1.1027147415905576</v>
      </c>
    </row>
    <row r="21" spans="6:13" x14ac:dyDescent="0.25">
      <c r="L21" s="172" t="s">
        <v>559</v>
      </c>
      <c r="M21" s="173"/>
    </row>
    <row r="22" spans="6:13" x14ac:dyDescent="0.25">
      <c r="L22" s="115" t="s">
        <v>565</v>
      </c>
      <c r="M22" s="116">
        <v>41549.1</v>
      </c>
    </row>
    <row r="23" spans="6:13" x14ac:dyDescent="0.25">
      <c r="L23" s="115" t="s">
        <v>560</v>
      </c>
      <c r="M23" s="116">
        <v>8515.4600000000009</v>
      </c>
    </row>
    <row r="24" spans="6:13" x14ac:dyDescent="0.25">
      <c r="L24" s="115" t="s">
        <v>561</v>
      </c>
      <c r="M24" s="116">
        <v>17665.82</v>
      </c>
    </row>
    <row r="25" spans="6:13" x14ac:dyDescent="0.25">
      <c r="L25" s="115" t="s">
        <v>562</v>
      </c>
      <c r="M25" s="116">
        <v>101720.41</v>
      </c>
    </row>
    <row r="26" spans="6:13" x14ac:dyDescent="0.25">
      <c r="L26" s="115" t="s">
        <v>563</v>
      </c>
      <c r="M26" s="116">
        <v>10535.76</v>
      </c>
    </row>
    <row r="27" spans="6:13" x14ac:dyDescent="0.25">
      <c r="L27" s="115" t="s">
        <v>564</v>
      </c>
      <c r="M27" s="116">
        <v>12058</v>
      </c>
    </row>
    <row r="28" spans="6:13" x14ac:dyDescent="0.25">
      <c r="L28" s="117" t="s">
        <v>16</v>
      </c>
      <c r="M28" s="118">
        <f>SUM(M22:M27)</f>
        <v>192044.55000000002</v>
      </c>
    </row>
  </sheetData>
  <mergeCells count="5">
    <mergeCell ref="F3:F4"/>
    <mergeCell ref="G3:G4"/>
    <mergeCell ref="H3:H4"/>
    <mergeCell ref="I3:J3"/>
    <mergeCell ref="L21:M2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6:I51"/>
  <sheetViews>
    <sheetView topLeftCell="A10" workbookViewId="0">
      <selection activeCell="D26" sqref="D26"/>
    </sheetView>
  </sheetViews>
  <sheetFormatPr defaultRowHeight="15" x14ac:dyDescent="0.25"/>
  <cols>
    <col min="7" max="7" width="47.5703125" bestFit="1" customWidth="1"/>
    <col min="8" max="8" width="1.85546875" customWidth="1"/>
    <col min="9" max="9" width="31.5703125" bestFit="1" customWidth="1"/>
  </cols>
  <sheetData>
    <row r="26" spans="7:9" ht="14.45" x14ac:dyDescent="0.35">
      <c r="G26" s="82" t="s">
        <v>231</v>
      </c>
      <c r="I26" s="79" t="s">
        <v>246</v>
      </c>
    </row>
    <row r="27" spans="7:9" ht="14.45" x14ac:dyDescent="0.35">
      <c r="G27" s="80"/>
      <c r="I27" t="s">
        <v>247</v>
      </c>
    </row>
    <row r="28" spans="7:9" ht="14.45" x14ac:dyDescent="0.35">
      <c r="G28" s="82" t="s">
        <v>232</v>
      </c>
    </row>
    <row r="29" spans="7:9" ht="14.45" x14ac:dyDescent="0.35">
      <c r="G29" s="80" t="s">
        <v>233</v>
      </c>
    </row>
    <row r="30" spans="7:9" ht="14.45" x14ac:dyDescent="0.35">
      <c r="G30" s="80"/>
    </row>
    <row r="31" spans="7:9" ht="14.45" x14ac:dyDescent="0.35">
      <c r="G31" s="82" t="s">
        <v>234</v>
      </c>
    </row>
    <row r="32" spans="7:9" ht="14.45" x14ac:dyDescent="0.35">
      <c r="G32" s="80" t="s">
        <v>235</v>
      </c>
    </row>
    <row r="33" spans="7:7" ht="14.45" x14ac:dyDescent="0.35">
      <c r="G33" s="80"/>
    </row>
    <row r="34" spans="7:7" ht="14.45" x14ac:dyDescent="0.35">
      <c r="G34" s="82" t="s">
        <v>236</v>
      </c>
    </row>
    <row r="35" spans="7:7" ht="14.45" x14ac:dyDescent="0.35">
      <c r="G35" s="80" t="s">
        <v>237</v>
      </c>
    </row>
    <row r="36" spans="7:7" ht="14.45" x14ac:dyDescent="0.35">
      <c r="G36" s="80" t="s">
        <v>238</v>
      </c>
    </row>
    <row r="37" spans="7:7" ht="14.45" x14ac:dyDescent="0.35">
      <c r="G37" s="80" t="s">
        <v>239</v>
      </c>
    </row>
    <row r="38" spans="7:7" ht="14.45" x14ac:dyDescent="0.35">
      <c r="G38" s="80" t="s">
        <v>240</v>
      </c>
    </row>
    <row r="39" spans="7:7" ht="14.45" x14ac:dyDescent="0.35">
      <c r="G39" s="80"/>
    </row>
    <row r="40" spans="7:7" ht="14.45" x14ac:dyDescent="0.35">
      <c r="G40" s="82" t="s">
        <v>241</v>
      </c>
    </row>
    <row r="41" spans="7:7" x14ac:dyDescent="0.25">
      <c r="G41" s="83" t="s">
        <v>242</v>
      </c>
    </row>
    <row r="42" spans="7:7" x14ac:dyDescent="0.25">
      <c r="G42" s="80" t="s">
        <v>243</v>
      </c>
    </row>
    <row r="43" spans="7:7" x14ac:dyDescent="0.25">
      <c r="G43" s="80" t="s">
        <v>244</v>
      </c>
    </row>
    <row r="44" spans="7:7" x14ac:dyDescent="0.25">
      <c r="G44" s="80" t="s">
        <v>245</v>
      </c>
    </row>
    <row r="45" spans="7:7" x14ac:dyDescent="0.25">
      <c r="G45" s="80"/>
    </row>
    <row r="46" spans="7:7" x14ac:dyDescent="0.25">
      <c r="G46" s="82" t="s">
        <v>248</v>
      </c>
    </row>
    <row r="47" spans="7:7" x14ac:dyDescent="0.25">
      <c r="G47" s="84" t="s">
        <v>232</v>
      </c>
    </row>
    <row r="48" spans="7:7" x14ac:dyDescent="0.25">
      <c r="G48" s="85" t="s">
        <v>249</v>
      </c>
    </row>
    <row r="49" spans="7:7" x14ac:dyDescent="0.25">
      <c r="G49" s="81" t="s">
        <v>250</v>
      </c>
    </row>
    <row r="50" spans="7:7" x14ac:dyDescent="0.25">
      <c r="G50" s="85" t="s">
        <v>251</v>
      </c>
    </row>
    <row r="51" spans="7:7" x14ac:dyDescent="0.25">
      <c r="G51" s="85" t="s">
        <v>252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26"/>
  <sheetViews>
    <sheetView workbookViewId="0">
      <selection activeCell="K37" sqref="K37"/>
    </sheetView>
  </sheetViews>
  <sheetFormatPr defaultRowHeight="15" x14ac:dyDescent="0.25"/>
  <cols>
    <col min="4" max="4" width="28.5703125" bestFit="1" customWidth="1"/>
  </cols>
  <sheetData>
    <row r="2" spans="4:8" thickBot="1" x14ac:dyDescent="0.4"/>
    <row r="3" spans="4:8" ht="15.75" thickBot="1" x14ac:dyDescent="0.3">
      <c r="D3" s="166" t="s">
        <v>253</v>
      </c>
      <c r="E3" s="161">
        <v>2020</v>
      </c>
      <c r="F3" s="161">
        <v>2019</v>
      </c>
      <c r="G3" s="163" t="s">
        <v>10</v>
      </c>
      <c r="H3" s="170"/>
    </row>
    <row r="4" spans="4:8" ht="15.75" thickBot="1" x14ac:dyDescent="0.3">
      <c r="D4" s="167"/>
      <c r="E4" s="165"/>
      <c r="F4" s="165"/>
      <c r="G4" s="3" t="s">
        <v>2</v>
      </c>
      <c r="H4" s="3" t="s">
        <v>3</v>
      </c>
    </row>
    <row r="5" spans="4:8" thickBot="1" x14ac:dyDescent="0.4">
      <c r="D5" s="15" t="s">
        <v>254</v>
      </c>
      <c r="E5" s="86">
        <v>125667</v>
      </c>
      <c r="F5" s="86">
        <v>120000</v>
      </c>
      <c r="G5" s="55">
        <f t="shared" ref="G5" si="0">+E5-F5</f>
        <v>5667</v>
      </c>
      <c r="H5" s="13">
        <f t="shared" ref="H5" si="1">((G5*100)/F5)/100</f>
        <v>4.7225000000000003E-2</v>
      </c>
    </row>
    <row r="6" spans="4:8" thickBot="1" x14ac:dyDescent="0.4">
      <c r="D6" s="15" t="s">
        <v>255</v>
      </c>
      <c r="E6" s="86">
        <v>30189.51</v>
      </c>
      <c r="F6" s="86">
        <v>26437</v>
      </c>
      <c r="G6" s="55">
        <f t="shared" ref="G6:G12" si="2">+E6-F6</f>
        <v>3752.5099999999984</v>
      </c>
      <c r="H6" s="13">
        <f t="shared" ref="H6:H12" si="3">((G6*100)/F6)/100</f>
        <v>0.14194159700419859</v>
      </c>
    </row>
    <row r="7" spans="4:8" thickBot="1" x14ac:dyDescent="0.4">
      <c r="D7" s="15" t="s">
        <v>256</v>
      </c>
      <c r="E7" s="86">
        <v>1467.06</v>
      </c>
      <c r="F7" s="86">
        <v>5936</v>
      </c>
      <c r="G7" s="55">
        <f t="shared" si="2"/>
        <v>-4468.9400000000005</v>
      </c>
      <c r="H7" s="13">
        <f t="shared" si="3"/>
        <v>-0.75285377358490579</v>
      </c>
    </row>
    <row r="8" spans="4:8" thickBot="1" x14ac:dyDescent="0.4">
      <c r="D8" s="15" t="s">
        <v>257</v>
      </c>
      <c r="E8" s="86">
        <v>25447.040000000001</v>
      </c>
      <c r="F8" s="86">
        <v>20782</v>
      </c>
      <c r="G8" s="55">
        <f t="shared" si="2"/>
        <v>4665.0400000000009</v>
      </c>
      <c r="H8" s="13">
        <f t="shared" si="3"/>
        <v>0.22447502646521034</v>
      </c>
    </row>
    <row r="9" spans="4:8" thickBot="1" x14ac:dyDescent="0.4">
      <c r="D9" s="15" t="s">
        <v>258</v>
      </c>
      <c r="E9" s="86">
        <v>2493.79</v>
      </c>
      <c r="F9" s="86">
        <v>6405</v>
      </c>
      <c r="G9" s="55">
        <f t="shared" si="2"/>
        <v>-3911.21</v>
      </c>
      <c r="H9" s="13">
        <f t="shared" si="3"/>
        <v>-0.61064949258391887</v>
      </c>
    </row>
    <row r="10" spans="4:8" thickBot="1" x14ac:dyDescent="0.4">
      <c r="D10" s="15" t="s">
        <v>259</v>
      </c>
      <c r="E10" s="86">
        <v>8654.89</v>
      </c>
      <c r="F10" s="86">
        <v>12192</v>
      </c>
      <c r="G10" s="55">
        <f t="shared" si="2"/>
        <v>-3537.1100000000006</v>
      </c>
      <c r="H10" s="13">
        <f t="shared" si="3"/>
        <v>-0.29011729002624675</v>
      </c>
    </row>
    <row r="11" spans="4:8" thickBot="1" x14ac:dyDescent="0.4">
      <c r="D11" s="15" t="s">
        <v>260</v>
      </c>
      <c r="E11" s="86">
        <v>31018.7</v>
      </c>
      <c r="F11" s="86">
        <v>30160</v>
      </c>
      <c r="G11" s="55">
        <f t="shared" si="2"/>
        <v>858.70000000000073</v>
      </c>
      <c r="H11" s="13">
        <f t="shared" si="3"/>
        <v>2.8471485411140609E-2</v>
      </c>
    </row>
    <row r="12" spans="4:8" thickBot="1" x14ac:dyDescent="0.4">
      <c r="D12" s="15" t="s">
        <v>261</v>
      </c>
      <c r="E12" s="86">
        <v>3400</v>
      </c>
      <c r="F12" s="86">
        <v>3400</v>
      </c>
      <c r="G12" s="55">
        <f t="shared" si="2"/>
        <v>0</v>
      </c>
      <c r="H12" s="13">
        <f t="shared" si="3"/>
        <v>0</v>
      </c>
    </row>
    <row r="15" spans="4:8" ht="15.75" thickBot="1" x14ac:dyDescent="0.3"/>
    <row r="16" spans="4:8" ht="15.75" thickBot="1" x14ac:dyDescent="0.3">
      <c r="D16" s="166" t="s">
        <v>253</v>
      </c>
      <c r="E16" s="161">
        <v>2021</v>
      </c>
      <c r="F16" s="161">
        <v>2020</v>
      </c>
      <c r="G16" s="163" t="s">
        <v>445</v>
      </c>
      <c r="H16" s="170"/>
    </row>
    <row r="17" spans="4:8" ht="15.75" thickBot="1" x14ac:dyDescent="0.3">
      <c r="D17" s="167"/>
      <c r="E17" s="165"/>
      <c r="F17" s="165"/>
      <c r="G17" s="3" t="s">
        <v>2</v>
      </c>
      <c r="H17" s="3" t="s">
        <v>3</v>
      </c>
    </row>
    <row r="18" spans="4:8" ht="15.75" thickBot="1" x14ac:dyDescent="0.3">
      <c r="D18" s="15" t="s">
        <v>254</v>
      </c>
      <c r="E18" s="86">
        <f>+CONSULENZE!L26</f>
        <v>132000</v>
      </c>
      <c r="F18" s="86">
        <v>125667</v>
      </c>
      <c r="G18" s="55">
        <f t="shared" ref="G18:G25" si="4">+E18-F18</f>
        <v>6333</v>
      </c>
      <c r="H18" s="25">
        <f t="shared" ref="H18:H25" si="5">((G18*100)/F18)/100</f>
        <v>5.0395091790207458E-2</v>
      </c>
    </row>
    <row r="19" spans="4:8" ht="15.75" thickBot="1" x14ac:dyDescent="0.3">
      <c r="D19" s="15" t="s">
        <v>255</v>
      </c>
      <c r="E19" s="86">
        <f>+CONSULENZE!L27</f>
        <v>29110.6</v>
      </c>
      <c r="F19" s="86">
        <v>30189.51</v>
      </c>
      <c r="G19" s="55">
        <f t="shared" si="4"/>
        <v>-1078.9099999999999</v>
      </c>
      <c r="H19" s="13">
        <f t="shared" si="5"/>
        <v>-3.5737910287381276E-2</v>
      </c>
    </row>
    <row r="20" spans="4:8" ht="15.75" thickBot="1" x14ac:dyDescent="0.3">
      <c r="D20" s="15" t="s">
        <v>256</v>
      </c>
      <c r="E20" s="86">
        <f>+CONSULENZE!L28</f>
        <v>4546.0600000000004</v>
      </c>
      <c r="F20" s="86">
        <v>1467.06</v>
      </c>
      <c r="G20" s="55">
        <f t="shared" si="4"/>
        <v>3079.0000000000005</v>
      </c>
      <c r="H20" s="25">
        <f t="shared" si="5"/>
        <v>2.0987553337968459</v>
      </c>
    </row>
    <row r="21" spans="4:8" ht="15.75" thickBot="1" x14ac:dyDescent="0.3">
      <c r="D21" s="15" t="s">
        <v>257</v>
      </c>
      <c r="E21" s="86">
        <f>+CONSULENZE!L24</f>
        <v>26478.080000000002</v>
      </c>
      <c r="F21" s="86">
        <v>25447.040000000001</v>
      </c>
      <c r="G21" s="55">
        <f t="shared" si="4"/>
        <v>1031.0400000000009</v>
      </c>
      <c r="H21" s="25">
        <f t="shared" si="5"/>
        <v>4.0517089610422302E-2</v>
      </c>
    </row>
    <row r="22" spans="4:8" ht="15.75" thickBot="1" x14ac:dyDescent="0.3">
      <c r="D22" s="15" t="s">
        <v>258</v>
      </c>
      <c r="E22" s="86">
        <f>+CONSULENZE!L25</f>
        <v>3408.8</v>
      </c>
      <c r="F22" s="86">
        <v>2493.79</v>
      </c>
      <c r="G22" s="55">
        <f t="shared" si="4"/>
        <v>915.01000000000022</v>
      </c>
      <c r="H22" s="25">
        <f t="shared" si="5"/>
        <v>0.36691541789805887</v>
      </c>
    </row>
    <row r="23" spans="4:8" ht="15.75" thickBot="1" x14ac:dyDescent="0.3">
      <c r="D23" s="15" t="s">
        <v>259</v>
      </c>
      <c r="E23" s="86">
        <f>+CONSULENZE!G16</f>
        <v>9779.7099999999991</v>
      </c>
      <c r="F23" s="86">
        <v>8654.89</v>
      </c>
      <c r="G23" s="55">
        <f t="shared" si="4"/>
        <v>1124.8199999999997</v>
      </c>
      <c r="H23" s="25">
        <f t="shared" si="5"/>
        <v>0.12996352351098625</v>
      </c>
    </row>
    <row r="24" spans="4:8" ht="15.75" thickBot="1" x14ac:dyDescent="0.3">
      <c r="D24" s="15" t="s">
        <v>260</v>
      </c>
      <c r="E24" s="86">
        <f>+CONSULENZE!G17</f>
        <v>24958.98</v>
      </c>
      <c r="F24" s="86">
        <v>31018.7</v>
      </c>
      <c r="G24" s="55">
        <f t="shared" si="4"/>
        <v>-6059.7200000000012</v>
      </c>
      <c r="H24" s="13">
        <f t="shared" si="5"/>
        <v>-0.19535699432922723</v>
      </c>
    </row>
    <row r="25" spans="4:8" ht="15.75" thickBot="1" x14ac:dyDescent="0.3">
      <c r="D25" s="15" t="s">
        <v>261</v>
      </c>
      <c r="E25" s="86">
        <v>3400</v>
      </c>
      <c r="F25" s="86">
        <v>3400</v>
      </c>
      <c r="G25" s="55">
        <f t="shared" si="4"/>
        <v>0</v>
      </c>
      <c r="H25" s="25">
        <f t="shared" si="5"/>
        <v>0</v>
      </c>
    </row>
    <row r="26" spans="4:8" ht="15.75" thickBot="1" x14ac:dyDescent="0.3">
      <c r="D26" s="17" t="s">
        <v>16</v>
      </c>
      <c r="E26" s="99">
        <f>SUM(E18:E25)</f>
        <v>233682.22999999998</v>
      </c>
      <c r="F26" s="99">
        <f>SUM(F18:F25)</f>
        <v>228337.99000000005</v>
      </c>
      <c r="G26" s="56">
        <f t="shared" ref="G26" si="6">+E26-F26</f>
        <v>5344.2399999999325</v>
      </c>
      <c r="H26" s="28">
        <f t="shared" ref="H26" si="7">((G26*100)/F26)/100</f>
        <v>2.3404953332557279E-2</v>
      </c>
    </row>
  </sheetData>
  <mergeCells count="8">
    <mergeCell ref="D3:D4"/>
    <mergeCell ref="E3:E4"/>
    <mergeCell ref="F3:F4"/>
    <mergeCell ref="G3:H3"/>
    <mergeCell ref="D16:D17"/>
    <mergeCell ref="E16:E17"/>
    <mergeCell ref="F16:F17"/>
    <mergeCell ref="G16:H1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23"/>
  <sheetViews>
    <sheetView topLeftCell="A4" workbookViewId="0">
      <selection activeCell="K23" sqref="K23"/>
    </sheetView>
  </sheetViews>
  <sheetFormatPr defaultRowHeight="15" x14ac:dyDescent="0.25"/>
  <cols>
    <col min="4" max="4" width="27" customWidth="1"/>
    <col min="5" max="5" width="11.7109375" bestFit="1" customWidth="1"/>
    <col min="6" max="6" width="10.7109375" bestFit="1" customWidth="1"/>
    <col min="7" max="7" width="20.28515625" customWidth="1"/>
  </cols>
  <sheetData>
    <row r="2" spans="4:7" ht="21" customHeight="1" x14ac:dyDescent="0.25">
      <c r="D2" s="174" t="s">
        <v>273</v>
      </c>
      <c r="E2" s="175"/>
      <c r="F2" s="175"/>
      <c r="G2" s="176"/>
    </row>
    <row r="3" spans="4:7" ht="18" x14ac:dyDescent="0.25">
      <c r="D3" s="87" t="s">
        <v>262</v>
      </c>
      <c r="E3" s="87" t="s">
        <v>263</v>
      </c>
      <c r="F3" s="87" t="s">
        <v>264</v>
      </c>
      <c r="G3" s="87" t="s">
        <v>253</v>
      </c>
    </row>
    <row r="4" spans="4:7" x14ac:dyDescent="0.25">
      <c r="D4" s="88" t="s">
        <v>265</v>
      </c>
      <c r="E4" s="89">
        <v>5391488.9299999997</v>
      </c>
      <c r="F4" s="90">
        <v>43935</v>
      </c>
      <c r="G4" s="88" t="s">
        <v>266</v>
      </c>
    </row>
    <row r="5" spans="4:7" x14ac:dyDescent="0.25">
      <c r="D5" s="88" t="s">
        <v>265</v>
      </c>
      <c r="E5" s="89">
        <v>1948804.25</v>
      </c>
      <c r="F5" s="90">
        <v>44053</v>
      </c>
      <c r="G5" s="88" t="s">
        <v>267</v>
      </c>
    </row>
    <row r="6" spans="4:7" x14ac:dyDescent="0.25">
      <c r="D6" s="88" t="s">
        <v>265</v>
      </c>
      <c r="E6" s="89">
        <v>662346.05000000005</v>
      </c>
      <c r="F6" s="90">
        <v>44053</v>
      </c>
      <c r="G6" s="88" t="s">
        <v>274</v>
      </c>
    </row>
    <row r="7" spans="4:7" ht="18" x14ac:dyDescent="0.25">
      <c r="D7" s="88" t="s">
        <v>49</v>
      </c>
      <c r="E7" s="89">
        <v>2500000</v>
      </c>
      <c r="F7" s="90">
        <v>43964</v>
      </c>
      <c r="G7" s="88" t="s">
        <v>269</v>
      </c>
    </row>
    <row r="8" spans="4:7" ht="18" x14ac:dyDescent="0.25">
      <c r="D8" s="88" t="s">
        <v>270</v>
      </c>
      <c r="E8" s="89">
        <v>200000</v>
      </c>
      <c r="F8" s="90">
        <v>44085</v>
      </c>
      <c r="G8" s="88" t="s">
        <v>271</v>
      </c>
    </row>
    <row r="9" spans="4:7" ht="18" x14ac:dyDescent="0.25">
      <c r="D9" s="88" t="s">
        <v>265</v>
      </c>
      <c r="E9" s="89">
        <v>561233.59</v>
      </c>
      <c r="F9" s="90">
        <v>44104</v>
      </c>
      <c r="G9" s="88" t="s">
        <v>272</v>
      </c>
    </row>
    <row r="10" spans="4:7" x14ac:dyDescent="0.25">
      <c r="D10" s="88" t="s">
        <v>265</v>
      </c>
      <c r="E10" s="89">
        <v>250406.02</v>
      </c>
      <c r="F10" s="90">
        <v>44166</v>
      </c>
      <c r="G10" s="88" t="s">
        <v>268</v>
      </c>
    </row>
    <row r="11" spans="4:7" x14ac:dyDescent="0.25">
      <c r="D11" s="88" t="s">
        <v>265</v>
      </c>
      <c r="E11" s="89">
        <v>84628.5</v>
      </c>
      <c r="F11" s="90">
        <v>44168</v>
      </c>
      <c r="G11" s="88" t="s">
        <v>275</v>
      </c>
    </row>
    <row r="12" spans="4:7" ht="18" x14ac:dyDescent="0.25">
      <c r="D12" s="88" t="s">
        <v>51</v>
      </c>
      <c r="E12" s="89">
        <v>1000000</v>
      </c>
      <c r="F12" s="90">
        <v>44194</v>
      </c>
      <c r="G12" s="88" t="s">
        <v>271</v>
      </c>
    </row>
    <row r="14" spans="4:7" x14ac:dyDescent="0.25">
      <c r="D14" s="177" t="s">
        <v>566</v>
      </c>
      <c r="E14" s="178"/>
      <c r="F14" s="178"/>
      <c r="G14" s="179"/>
    </row>
    <row r="15" spans="4:7" ht="30" x14ac:dyDescent="0.25">
      <c r="D15" s="146" t="s">
        <v>262</v>
      </c>
      <c r="E15" s="146" t="s">
        <v>263</v>
      </c>
      <c r="F15" s="146" t="s">
        <v>264</v>
      </c>
      <c r="G15" s="146" t="s">
        <v>253</v>
      </c>
    </row>
    <row r="16" spans="4:7" ht="30" x14ac:dyDescent="0.25">
      <c r="D16" s="150" t="s">
        <v>265</v>
      </c>
      <c r="E16" s="148">
        <v>6553822.0199999996</v>
      </c>
      <c r="F16" s="147">
        <v>44292</v>
      </c>
      <c r="G16" s="149" t="s">
        <v>567</v>
      </c>
    </row>
    <row r="17" spans="4:7" ht="30" x14ac:dyDescent="0.25">
      <c r="D17" s="149" t="s">
        <v>265</v>
      </c>
      <c r="E17" s="148">
        <v>568578.16</v>
      </c>
      <c r="F17" s="147">
        <v>44298</v>
      </c>
      <c r="G17" s="149" t="s">
        <v>568</v>
      </c>
    </row>
    <row r="18" spans="4:7" ht="30" x14ac:dyDescent="0.25">
      <c r="D18" s="149" t="s">
        <v>265</v>
      </c>
      <c r="E18" s="148">
        <v>1689977.77</v>
      </c>
      <c r="F18" s="147">
        <v>44392</v>
      </c>
      <c r="G18" s="149" t="s">
        <v>569</v>
      </c>
    </row>
    <row r="19" spans="4:7" ht="45" x14ac:dyDescent="0.25">
      <c r="D19" s="149" t="s">
        <v>49</v>
      </c>
      <c r="E19" s="148">
        <v>2500000</v>
      </c>
      <c r="F19" s="147">
        <v>44448</v>
      </c>
      <c r="G19" s="149" t="s">
        <v>570</v>
      </c>
    </row>
    <row r="20" spans="4:7" ht="30" x14ac:dyDescent="0.25">
      <c r="D20" s="149" t="s">
        <v>265</v>
      </c>
      <c r="E20" s="148">
        <v>84628.5</v>
      </c>
      <c r="F20" s="147">
        <v>44417</v>
      </c>
      <c r="G20" s="149" t="s">
        <v>275</v>
      </c>
    </row>
    <row r="21" spans="4:7" ht="45" x14ac:dyDescent="0.25">
      <c r="D21" s="149" t="s">
        <v>265</v>
      </c>
      <c r="E21" s="148">
        <v>507358.52</v>
      </c>
      <c r="F21" s="147">
        <v>44498</v>
      </c>
      <c r="G21" s="149" t="s">
        <v>272</v>
      </c>
    </row>
    <row r="22" spans="4:7" ht="45" x14ac:dyDescent="0.25">
      <c r="D22" s="149" t="s">
        <v>270</v>
      </c>
      <c r="E22" s="148">
        <v>200000</v>
      </c>
      <c r="F22" s="147">
        <v>44529</v>
      </c>
      <c r="G22" s="149" t="s">
        <v>570</v>
      </c>
    </row>
    <row r="23" spans="4:7" ht="180" x14ac:dyDescent="0.25">
      <c r="D23" s="149" t="s">
        <v>49</v>
      </c>
      <c r="E23" s="148">
        <v>1000000</v>
      </c>
      <c r="F23" s="147">
        <v>44335</v>
      </c>
      <c r="G23" s="149" t="s">
        <v>571</v>
      </c>
    </row>
  </sheetData>
  <mergeCells count="2">
    <mergeCell ref="D2:G2"/>
    <mergeCell ref="D14:G1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G75"/>
  <sheetViews>
    <sheetView topLeftCell="A49" workbookViewId="0">
      <selection activeCell="E72" sqref="E72:G75"/>
    </sheetView>
  </sheetViews>
  <sheetFormatPr defaultRowHeight="15" x14ac:dyDescent="0.25"/>
  <cols>
    <col min="5" max="5" width="45.28515625" bestFit="1" customWidth="1"/>
    <col min="6" max="6" width="17.5703125" bestFit="1" customWidth="1"/>
    <col min="7" max="7" width="57.85546875" customWidth="1"/>
  </cols>
  <sheetData>
    <row r="9" spans="5:6" thickBot="1" x14ac:dyDescent="0.4"/>
    <row r="10" spans="5:6" thickBot="1" x14ac:dyDescent="0.4">
      <c r="E10" s="157" t="s">
        <v>341</v>
      </c>
      <c r="F10" s="158"/>
    </row>
    <row r="11" spans="5:6" thickBot="1" x14ac:dyDescent="0.4">
      <c r="E11" s="15" t="s">
        <v>342</v>
      </c>
      <c r="F11" s="86">
        <v>574151</v>
      </c>
    </row>
    <row r="12" spans="5:6" thickBot="1" x14ac:dyDescent="0.4">
      <c r="E12" s="15" t="s">
        <v>343</v>
      </c>
      <c r="F12" s="86">
        <v>21832</v>
      </c>
    </row>
    <row r="13" spans="5:6" thickBot="1" x14ac:dyDescent="0.4">
      <c r="E13" s="15" t="s">
        <v>344</v>
      </c>
      <c r="F13" s="86">
        <v>160944</v>
      </c>
    </row>
    <row r="14" spans="5:6" thickBot="1" x14ac:dyDescent="0.4">
      <c r="E14" s="15" t="s">
        <v>345</v>
      </c>
      <c r="F14" s="86">
        <v>1384382</v>
      </c>
    </row>
    <row r="15" spans="5:6" thickBot="1" x14ac:dyDescent="0.4">
      <c r="E15" s="31" t="s">
        <v>346</v>
      </c>
      <c r="F15" s="99">
        <f>SUM(F11:F14)</f>
        <v>2141309</v>
      </c>
    </row>
    <row r="16" spans="5:6" thickBot="1" x14ac:dyDescent="0.4"/>
    <row r="17" spans="5:7" thickBot="1" x14ac:dyDescent="0.4">
      <c r="E17" s="113" t="s">
        <v>347</v>
      </c>
      <c r="F17" s="114" t="s">
        <v>350</v>
      </c>
    </row>
    <row r="18" spans="5:7" thickBot="1" x14ac:dyDescent="0.4">
      <c r="E18" s="4" t="s">
        <v>348</v>
      </c>
      <c r="F18" s="6">
        <v>574151</v>
      </c>
    </row>
    <row r="19" spans="5:7" thickBot="1" x14ac:dyDescent="0.4">
      <c r="E19" s="4" t="s">
        <v>349</v>
      </c>
      <c r="F19" s="6">
        <v>21832</v>
      </c>
    </row>
    <row r="20" spans="5:7" thickBot="1" x14ac:dyDescent="0.4">
      <c r="E20" s="24" t="s">
        <v>16</v>
      </c>
      <c r="F20" s="10">
        <f>SUM(F18:F19)</f>
        <v>595983</v>
      </c>
    </row>
    <row r="22" spans="5:7" ht="14.45" x14ac:dyDescent="0.35">
      <c r="E22" s="119" t="s">
        <v>347</v>
      </c>
      <c r="F22" s="119" t="s">
        <v>351</v>
      </c>
      <c r="G22" s="119" t="s">
        <v>352</v>
      </c>
    </row>
    <row r="23" spans="5:7" ht="14.45" x14ac:dyDescent="0.35">
      <c r="E23" s="115" t="s">
        <v>353</v>
      </c>
      <c r="F23" s="116">
        <v>986</v>
      </c>
      <c r="G23" s="116">
        <v>986</v>
      </c>
    </row>
    <row r="24" spans="5:7" ht="14.45" x14ac:dyDescent="0.35">
      <c r="E24" s="115" t="s">
        <v>354</v>
      </c>
      <c r="F24" s="116">
        <v>4270</v>
      </c>
      <c r="G24" s="116">
        <v>0</v>
      </c>
    </row>
    <row r="25" spans="5:7" ht="14.45" x14ac:dyDescent="0.35">
      <c r="E25" s="115" t="s">
        <v>355</v>
      </c>
      <c r="F25" s="116">
        <v>985.76</v>
      </c>
      <c r="G25" s="116">
        <v>0</v>
      </c>
    </row>
    <row r="26" spans="5:7" ht="14.45" x14ac:dyDescent="0.35">
      <c r="E26" s="115" t="s">
        <v>356</v>
      </c>
      <c r="F26" s="116">
        <v>15250</v>
      </c>
      <c r="G26" s="116">
        <v>0</v>
      </c>
    </row>
    <row r="27" spans="5:7" ht="14.45" x14ac:dyDescent="0.35">
      <c r="E27" s="115" t="s">
        <v>357</v>
      </c>
      <c r="F27" s="116">
        <v>6405</v>
      </c>
      <c r="G27" s="116">
        <v>6405</v>
      </c>
    </row>
    <row r="28" spans="5:7" ht="14.45" x14ac:dyDescent="0.35">
      <c r="E28" s="115" t="s">
        <v>358</v>
      </c>
      <c r="F28" s="116">
        <v>19149.32</v>
      </c>
      <c r="G28" s="116">
        <v>19149</v>
      </c>
    </row>
    <row r="29" spans="5:7" ht="14.45" x14ac:dyDescent="0.35">
      <c r="E29" s="115" t="s">
        <v>359</v>
      </c>
      <c r="F29" s="116">
        <v>184708</v>
      </c>
      <c r="G29" s="116">
        <v>0</v>
      </c>
    </row>
    <row r="30" spans="5:7" ht="14.45" x14ac:dyDescent="0.35">
      <c r="E30" s="115" t="s">
        <v>360</v>
      </c>
      <c r="F30" s="116">
        <v>66370.039999999994</v>
      </c>
      <c r="G30" s="116">
        <v>0</v>
      </c>
    </row>
    <row r="31" spans="5:7" ht="14.45" x14ac:dyDescent="0.35">
      <c r="E31" s="115" t="s">
        <v>361</v>
      </c>
      <c r="F31" s="116">
        <v>45000</v>
      </c>
      <c r="G31" s="116">
        <v>0</v>
      </c>
    </row>
    <row r="32" spans="5:7" ht="14.45" x14ac:dyDescent="0.35">
      <c r="E32" s="115" t="s">
        <v>362</v>
      </c>
      <c r="F32" s="116">
        <v>4933.68</v>
      </c>
      <c r="G32" s="116">
        <v>4934</v>
      </c>
    </row>
    <row r="33" spans="5:7" ht="14.45" x14ac:dyDescent="0.35">
      <c r="E33" s="115" t="s">
        <v>363</v>
      </c>
      <c r="F33" s="116">
        <v>118862</v>
      </c>
      <c r="G33" s="116">
        <v>118862</v>
      </c>
    </row>
    <row r="34" spans="5:7" ht="14.45" x14ac:dyDescent="0.35">
      <c r="E34" s="115" t="s">
        <v>364</v>
      </c>
      <c r="F34" s="116">
        <v>28670</v>
      </c>
      <c r="G34" s="116">
        <v>28670</v>
      </c>
    </row>
    <row r="35" spans="5:7" ht="14.45" x14ac:dyDescent="0.35">
      <c r="E35" s="115" t="s">
        <v>365</v>
      </c>
      <c r="F35" s="116">
        <v>5490</v>
      </c>
      <c r="G35" s="116">
        <v>5490</v>
      </c>
    </row>
    <row r="36" spans="5:7" ht="14.45" x14ac:dyDescent="0.35">
      <c r="E36" s="115" t="s">
        <v>366</v>
      </c>
      <c r="F36" s="116">
        <v>963.64</v>
      </c>
      <c r="G36" s="116">
        <v>964</v>
      </c>
    </row>
    <row r="37" spans="5:7" ht="14.45" x14ac:dyDescent="0.35">
      <c r="E37" s="115" t="s">
        <v>367</v>
      </c>
      <c r="F37" s="116">
        <v>56536</v>
      </c>
      <c r="G37" s="116">
        <v>45629.7</v>
      </c>
    </row>
    <row r="38" spans="5:7" ht="14.45" x14ac:dyDescent="0.35">
      <c r="E38" s="115" t="s">
        <v>368</v>
      </c>
      <c r="F38" s="116">
        <v>958.92</v>
      </c>
      <c r="G38" s="116">
        <v>0</v>
      </c>
    </row>
    <row r="39" spans="5:7" ht="14.45" x14ac:dyDescent="0.35">
      <c r="E39" s="115" t="s">
        <v>369</v>
      </c>
      <c r="F39" s="116">
        <v>6739.28</v>
      </c>
      <c r="G39" s="116">
        <v>0</v>
      </c>
    </row>
    <row r="40" spans="5:7" ht="14.45" x14ac:dyDescent="0.35">
      <c r="E40" s="115" t="s">
        <v>370</v>
      </c>
      <c r="F40" s="116">
        <v>400</v>
      </c>
      <c r="G40" s="116">
        <v>0</v>
      </c>
    </row>
    <row r="41" spans="5:7" ht="14.45" x14ac:dyDescent="0.35">
      <c r="E41" s="115" t="s">
        <v>371</v>
      </c>
      <c r="F41" s="116">
        <v>1068.72</v>
      </c>
      <c r="G41" s="116">
        <v>0</v>
      </c>
    </row>
    <row r="42" spans="5:7" ht="14.45" x14ac:dyDescent="0.35">
      <c r="E42" s="115" t="s">
        <v>372</v>
      </c>
      <c r="F42" s="116">
        <v>6405</v>
      </c>
      <c r="G42" s="116">
        <v>6405</v>
      </c>
    </row>
    <row r="43" spans="5:7" ht="14.45" x14ac:dyDescent="0.35">
      <c r="E43" s="115" t="s">
        <v>349</v>
      </c>
      <c r="F43" s="116">
        <v>21832</v>
      </c>
      <c r="G43" s="116">
        <v>21832</v>
      </c>
    </row>
    <row r="44" spans="5:7" ht="14.45" x14ac:dyDescent="0.35">
      <c r="E44" s="117" t="s">
        <v>16</v>
      </c>
      <c r="F44" s="118">
        <f>SUM(F23:F43)</f>
        <v>595983.35999999999</v>
      </c>
      <c r="G44" s="118">
        <f>SUM(G23:G43)</f>
        <v>259326.7</v>
      </c>
    </row>
    <row r="47" spans="5:7" ht="14.45" x14ac:dyDescent="0.35">
      <c r="E47" s="120" t="s">
        <v>373</v>
      </c>
      <c r="F47" s="121" t="s">
        <v>374</v>
      </c>
    </row>
    <row r="48" spans="5:7" ht="14.45" x14ac:dyDescent="0.35">
      <c r="E48" s="115" t="s">
        <v>375</v>
      </c>
      <c r="F48" s="116">
        <v>932.35</v>
      </c>
    </row>
    <row r="49" spans="5:6" ht="14.45" x14ac:dyDescent="0.35">
      <c r="E49" s="115" t="s">
        <v>376</v>
      </c>
      <c r="F49" s="116">
        <v>60897.16</v>
      </c>
    </row>
    <row r="50" spans="5:6" ht="14.45" x14ac:dyDescent="0.35">
      <c r="E50" s="115" t="s">
        <v>377</v>
      </c>
      <c r="F50" s="116">
        <v>3474.7</v>
      </c>
    </row>
    <row r="51" spans="5:6" ht="14.45" x14ac:dyDescent="0.35">
      <c r="E51" s="115" t="s">
        <v>378</v>
      </c>
      <c r="F51" s="116">
        <v>7185.86</v>
      </c>
    </row>
    <row r="52" spans="5:6" ht="14.45" x14ac:dyDescent="0.35">
      <c r="E52" s="115" t="s">
        <v>379</v>
      </c>
      <c r="F52" s="116">
        <v>604</v>
      </c>
    </row>
    <row r="53" spans="5:6" ht="14.45" x14ac:dyDescent="0.35">
      <c r="E53" s="117" t="s">
        <v>16</v>
      </c>
      <c r="F53" s="118">
        <f>SUM(F48:F52)</f>
        <v>73094.069999999992</v>
      </c>
    </row>
    <row r="55" spans="5:6" ht="14.45" x14ac:dyDescent="0.35">
      <c r="E55" s="120" t="s">
        <v>373</v>
      </c>
      <c r="F55" s="121" t="s">
        <v>374</v>
      </c>
    </row>
    <row r="56" spans="5:6" ht="14.45" x14ac:dyDescent="0.35">
      <c r="E56" s="115" t="s">
        <v>376</v>
      </c>
      <c r="F56" s="116">
        <v>60897.16</v>
      </c>
    </row>
    <row r="57" spans="5:6" ht="14.45" x14ac:dyDescent="0.35">
      <c r="E57" s="115" t="s">
        <v>378</v>
      </c>
      <c r="F57" s="116">
        <v>7185.86</v>
      </c>
    </row>
    <row r="58" spans="5:6" ht="14.45" x14ac:dyDescent="0.35">
      <c r="E58" s="115" t="s">
        <v>377</v>
      </c>
      <c r="F58" s="116">
        <v>3474.7</v>
      </c>
    </row>
    <row r="59" spans="5:6" ht="14.45" x14ac:dyDescent="0.35">
      <c r="E59" s="115" t="s">
        <v>375</v>
      </c>
      <c r="F59" s="116">
        <v>932.35</v>
      </c>
    </row>
    <row r="60" spans="5:6" ht="14.45" x14ac:dyDescent="0.35">
      <c r="E60" s="115" t="s">
        <v>379</v>
      </c>
      <c r="F60" s="116">
        <v>604</v>
      </c>
    </row>
    <row r="61" spans="5:6" ht="14.45" x14ac:dyDescent="0.35">
      <c r="E61" s="117" t="s">
        <v>16</v>
      </c>
      <c r="F61" s="118">
        <f>SUM(F56:F60)</f>
        <v>73094.070000000007</v>
      </c>
    </row>
    <row r="63" spans="5:6" ht="14.45" x14ac:dyDescent="0.35">
      <c r="E63" s="120" t="s">
        <v>380</v>
      </c>
      <c r="F63" s="121" t="s">
        <v>381</v>
      </c>
    </row>
    <row r="64" spans="5:6" ht="14.45" x14ac:dyDescent="0.35">
      <c r="E64" s="115" t="s">
        <v>382</v>
      </c>
      <c r="F64" s="116">
        <v>1200000</v>
      </c>
    </row>
    <row r="65" spans="5:7" ht="14.45" x14ac:dyDescent="0.35">
      <c r="E65" s="115" t="s">
        <v>383</v>
      </c>
      <c r="F65" s="116">
        <v>118750</v>
      </c>
    </row>
    <row r="66" spans="5:7" ht="14.45" x14ac:dyDescent="0.35">
      <c r="E66" s="115" t="s">
        <v>387</v>
      </c>
      <c r="F66" s="116">
        <f>23254.5+14286+2607.5</f>
        <v>40148</v>
      </c>
    </row>
    <row r="67" spans="5:7" ht="14.45" x14ac:dyDescent="0.35">
      <c r="E67" s="115" t="s">
        <v>386</v>
      </c>
      <c r="F67" s="116">
        <v>13334.54</v>
      </c>
    </row>
    <row r="68" spans="5:7" ht="14.45" x14ac:dyDescent="0.35">
      <c r="E68" s="115" t="s">
        <v>384</v>
      </c>
      <c r="F68" s="116">
        <v>11858.76</v>
      </c>
    </row>
    <row r="69" spans="5:7" ht="14.45" x14ac:dyDescent="0.35">
      <c r="E69" s="115" t="s">
        <v>385</v>
      </c>
      <c r="F69" s="116">
        <v>290.45</v>
      </c>
    </row>
    <row r="70" spans="5:7" ht="14.45" x14ac:dyDescent="0.35">
      <c r="E70" s="117" t="s">
        <v>16</v>
      </c>
      <c r="F70" s="122">
        <f>SUM(F64:F69)</f>
        <v>1384381.75</v>
      </c>
    </row>
    <row r="72" spans="5:7" ht="14.45" x14ac:dyDescent="0.35">
      <c r="E72" s="120" t="s">
        <v>388</v>
      </c>
      <c r="F72" s="121" t="s">
        <v>389</v>
      </c>
      <c r="G72" s="120" t="s">
        <v>390</v>
      </c>
    </row>
    <row r="73" spans="5:7" ht="14.45" x14ac:dyDescent="0.35">
      <c r="E73" s="115" t="s">
        <v>245</v>
      </c>
      <c r="F73" s="116">
        <v>1000000</v>
      </c>
      <c r="G73" s="115" t="s">
        <v>391</v>
      </c>
    </row>
    <row r="74" spans="5:7" ht="75" x14ac:dyDescent="0.25">
      <c r="E74" s="115" t="s">
        <v>243</v>
      </c>
      <c r="F74" s="116">
        <v>200000</v>
      </c>
      <c r="G74" s="123" t="s">
        <v>392</v>
      </c>
    </row>
    <row r="75" spans="5:7" ht="14.45" x14ac:dyDescent="0.35">
      <c r="E75" s="117" t="s">
        <v>16</v>
      </c>
      <c r="F75" s="118">
        <f>+F73+F74</f>
        <v>1200000</v>
      </c>
      <c r="G75" s="115"/>
    </row>
  </sheetData>
  <mergeCells count="1">
    <mergeCell ref="E10:F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M28"/>
  <sheetViews>
    <sheetView workbookViewId="0">
      <selection activeCell="H25" sqref="H25"/>
    </sheetView>
  </sheetViews>
  <sheetFormatPr defaultRowHeight="15" x14ac:dyDescent="0.25"/>
  <cols>
    <col min="5" max="5" width="45.28515625" bestFit="1" customWidth="1"/>
    <col min="8" max="8" width="3.28515625" bestFit="1" customWidth="1"/>
    <col min="9" max="9" width="15.42578125" customWidth="1"/>
    <col min="10" max="10" width="10.140625" bestFit="1" customWidth="1"/>
    <col min="11" max="11" width="12.85546875" customWidth="1"/>
    <col min="12" max="12" width="13.42578125" customWidth="1"/>
    <col min="13" max="13" width="10.28515625" customWidth="1"/>
  </cols>
  <sheetData>
    <row r="8" spans="5:8" ht="14.45" x14ac:dyDescent="0.35">
      <c r="E8" s="124"/>
      <c r="F8" s="125">
        <v>2021</v>
      </c>
      <c r="G8" s="125">
        <v>2020</v>
      </c>
    </row>
    <row r="9" spans="5:8" thickBot="1" x14ac:dyDescent="0.4">
      <c r="E9" s="126" t="s">
        <v>410</v>
      </c>
      <c r="F9" s="127">
        <f>+F10+F11+F12+F13+F14+F15+F16+F17+F18+F19+F20+F21+F22+F23+F24</f>
        <v>7934488.5899999999</v>
      </c>
      <c r="G9" s="127">
        <v>7688272</v>
      </c>
    </row>
    <row r="10" spans="5:8" thickBot="1" x14ac:dyDescent="0.4">
      <c r="E10" s="128" t="s">
        <v>411</v>
      </c>
      <c r="F10" s="129">
        <v>32001</v>
      </c>
      <c r="G10" s="129">
        <v>32001</v>
      </c>
      <c r="H10" t="s">
        <v>573</v>
      </c>
    </row>
    <row r="11" spans="5:8" thickBot="1" x14ac:dyDescent="0.4">
      <c r="E11" s="128" t="s">
        <v>412</v>
      </c>
      <c r="F11" s="129">
        <v>272435</v>
      </c>
      <c r="G11" s="129">
        <v>272435</v>
      </c>
      <c r="H11" t="s">
        <v>573</v>
      </c>
    </row>
    <row r="12" spans="5:8" thickBot="1" x14ac:dyDescent="0.4">
      <c r="E12" s="128" t="s">
        <v>413</v>
      </c>
      <c r="F12" s="129">
        <v>2000000</v>
      </c>
      <c r="G12" s="129">
        <v>2000000</v>
      </c>
      <c r="H12" t="s">
        <v>573</v>
      </c>
    </row>
    <row r="13" spans="5:8" thickBot="1" x14ac:dyDescent="0.4">
      <c r="E13" s="128" t="s">
        <v>414</v>
      </c>
      <c r="F13" s="129">
        <v>800000</v>
      </c>
      <c r="G13" s="129">
        <v>800000</v>
      </c>
      <c r="H13" t="s">
        <v>573</v>
      </c>
    </row>
    <row r="14" spans="5:8" thickBot="1" x14ac:dyDescent="0.4">
      <c r="E14" s="128" t="s">
        <v>415</v>
      </c>
      <c r="F14" s="129">
        <v>400000</v>
      </c>
      <c r="G14" s="129">
        <v>400000</v>
      </c>
      <c r="H14" t="s">
        <v>573</v>
      </c>
    </row>
    <row r="15" spans="5:8" thickBot="1" x14ac:dyDescent="0.4">
      <c r="E15" s="128" t="s">
        <v>416</v>
      </c>
      <c r="F15" s="129">
        <v>1198187</v>
      </c>
      <c r="G15" s="129">
        <f>312385+885802</f>
        <v>1198187</v>
      </c>
      <c r="H15" t="s">
        <v>574</v>
      </c>
    </row>
    <row r="16" spans="5:8" thickBot="1" x14ac:dyDescent="0.4">
      <c r="E16" s="128" t="s">
        <v>417</v>
      </c>
      <c r="F16" s="129">
        <v>-3977066</v>
      </c>
      <c r="G16" s="129">
        <v>-3977066</v>
      </c>
      <c r="H16" t="s">
        <v>574</v>
      </c>
    </row>
    <row r="17" spans="5:13" thickBot="1" x14ac:dyDescent="0.4">
      <c r="E17" s="128" t="s">
        <v>418</v>
      </c>
      <c r="F17" s="129">
        <v>2067511</v>
      </c>
      <c r="G17" s="129">
        <f>200000+1867511</f>
        <v>2067511</v>
      </c>
      <c r="H17" t="s">
        <v>575</v>
      </c>
    </row>
    <row r="18" spans="5:13" ht="15.75" thickBot="1" x14ac:dyDescent="0.3">
      <c r="E18" s="128" t="s">
        <v>419</v>
      </c>
      <c r="F18" s="129">
        <v>246216.59</v>
      </c>
      <c r="G18" s="129">
        <v>0</v>
      </c>
      <c r="H18" t="s">
        <v>574</v>
      </c>
    </row>
    <row r="19" spans="5:13" thickBot="1" x14ac:dyDescent="0.4">
      <c r="E19" s="128" t="s">
        <v>420</v>
      </c>
      <c r="F19" s="129">
        <v>1000</v>
      </c>
      <c r="G19" s="129">
        <v>1000</v>
      </c>
      <c r="H19" t="s">
        <v>573</v>
      </c>
    </row>
    <row r="20" spans="5:13" thickBot="1" x14ac:dyDescent="0.4">
      <c r="E20" s="128" t="s">
        <v>421</v>
      </c>
      <c r="F20" s="129">
        <v>333333</v>
      </c>
      <c r="G20" s="129">
        <v>333333</v>
      </c>
      <c r="H20" t="s">
        <v>573</v>
      </c>
    </row>
    <row r="21" spans="5:13" ht="15.75" thickBot="1" x14ac:dyDescent="0.3">
      <c r="E21" s="128" t="s">
        <v>422</v>
      </c>
      <c r="F21" s="129">
        <v>333333</v>
      </c>
      <c r="G21" s="129">
        <v>333333</v>
      </c>
      <c r="H21" t="s">
        <v>573</v>
      </c>
    </row>
    <row r="22" spans="5:13" thickBot="1" x14ac:dyDescent="0.4">
      <c r="E22" s="128" t="s">
        <v>423</v>
      </c>
      <c r="F22" s="129">
        <v>100000</v>
      </c>
      <c r="G22" s="129">
        <v>100000</v>
      </c>
      <c r="H22" t="s">
        <v>573</v>
      </c>
    </row>
    <row r="23" spans="5:13" thickBot="1" x14ac:dyDescent="0.4">
      <c r="E23" s="128" t="s">
        <v>424</v>
      </c>
      <c r="F23" s="129">
        <v>3234681</v>
      </c>
      <c r="G23" s="129">
        <v>3234681</v>
      </c>
      <c r="H23" t="s">
        <v>576</v>
      </c>
    </row>
    <row r="24" spans="5:13" thickBot="1" x14ac:dyDescent="0.4">
      <c r="E24" s="128" t="s">
        <v>425</v>
      </c>
      <c r="F24" s="129">
        <v>892857</v>
      </c>
      <c r="G24" s="129">
        <v>892857</v>
      </c>
      <c r="H24" t="s">
        <v>575</v>
      </c>
    </row>
    <row r="26" spans="5:13" thickBot="1" x14ac:dyDescent="0.4"/>
    <row r="27" spans="5:13" ht="28.5" thickBot="1" x14ac:dyDescent="0.4">
      <c r="I27" s="130"/>
      <c r="J27" s="110" t="s">
        <v>426</v>
      </c>
      <c r="K27" s="110" t="s">
        <v>428</v>
      </c>
      <c r="L27" s="110" t="s">
        <v>429</v>
      </c>
      <c r="M27" s="110" t="s">
        <v>430</v>
      </c>
    </row>
    <row r="28" spans="5:13" ht="28.5" thickBot="1" x14ac:dyDescent="0.4">
      <c r="I28" s="131" t="s">
        <v>427</v>
      </c>
      <c r="J28" s="132">
        <v>1537393</v>
      </c>
      <c r="K28" s="133">
        <v>82898</v>
      </c>
      <c r="L28" s="133">
        <f>1952832.39-1537392.53</f>
        <v>415439.85999999987</v>
      </c>
      <c r="M28" s="132">
        <f>+J28-K28+L28</f>
        <v>1869934.8599999999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M47"/>
  <sheetViews>
    <sheetView topLeftCell="I34" workbookViewId="0">
      <selection activeCell="L37" sqref="L37:M47"/>
    </sheetView>
  </sheetViews>
  <sheetFormatPr defaultRowHeight="15" x14ac:dyDescent="0.25"/>
  <cols>
    <col min="5" max="5" width="4" bestFit="1" customWidth="1"/>
    <col min="6" max="6" width="69.5703125" bestFit="1" customWidth="1"/>
    <col min="7" max="7" width="9.140625" bestFit="1" customWidth="1"/>
    <col min="8" max="8" width="54.140625" bestFit="1" customWidth="1"/>
    <col min="9" max="9" width="11.7109375" bestFit="1" customWidth="1"/>
    <col min="10" max="10" width="24.85546875" bestFit="1" customWidth="1"/>
    <col min="11" max="11" width="9.85546875" bestFit="1" customWidth="1"/>
    <col min="12" max="12" width="61.5703125" bestFit="1" customWidth="1"/>
    <col min="13" max="13" width="9.85546875" bestFit="1" customWidth="1"/>
  </cols>
  <sheetData>
    <row r="12" spans="5:7" ht="14.45" x14ac:dyDescent="0.35">
      <c r="E12" s="120" t="s">
        <v>393</v>
      </c>
      <c r="F12" s="120" t="s">
        <v>394</v>
      </c>
      <c r="G12" s="120" t="s">
        <v>381</v>
      </c>
    </row>
    <row r="13" spans="5:7" x14ac:dyDescent="0.25">
      <c r="E13" s="115">
        <v>1</v>
      </c>
      <c r="F13" s="115" t="s">
        <v>395</v>
      </c>
      <c r="G13" s="116">
        <v>22168</v>
      </c>
    </row>
    <row r="14" spans="5:7" x14ac:dyDescent="0.25">
      <c r="E14" s="115">
        <v>1</v>
      </c>
      <c r="F14" s="115" t="s">
        <v>396</v>
      </c>
      <c r="G14" s="116">
        <v>11464</v>
      </c>
    </row>
    <row r="15" spans="5:7" x14ac:dyDescent="0.25">
      <c r="E15" s="115">
        <v>1</v>
      </c>
      <c r="F15" s="115" t="s">
        <v>400</v>
      </c>
      <c r="G15" s="116">
        <v>5012</v>
      </c>
    </row>
    <row r="16" spans="5:7" x14ac:dyDescent="0.25">
      <c r="E16" s="115">
        <v>12</v>
      </c>
      <c r="F16" s="115" t="s">
        <v>397</v>
      </c>
      <c r="G16" s="116">
        <v>23520</v>
      </c>
    </row>
    <row r="17" spans="5:11" x14ac:dyDescent="0.25">
      <c r="E17" s="115">
        <v>13</v>
      </c>
      <c r="F17" s="115" t="s">
        <v>398</v>
      </c>
      <c r="G17" s="116">
        <v>6131</v>
      </c>
    </row>
    <row r="18" spans="5:11" ht="14.45" x14ac:dyDescent="0.35">
      <c r="E18" s="115">
        <v>115</v>
      </c>
      <c r="F18" s="115" t="s">
        <v>399</v>
      </c>
      <c r="G18" s="116">
        <v>937829</v>
      </c>
    </row>
    <row r="19" spans="5:11" ht="14.45" x14ac:dyDescent="0.35">
      <c r="E19" s="159" t="s">
        <v>16</v>
      </c>
      <c r="F19" s="160"/>
      <c r="G19" s="118">
        <f>SUM(G13:G18)</f>
        <v>1006124</v>
      </c>
    </row>
    <row r="21" spans="5:11" ht="14.45" x14ac:dyDescent="0.35">
      <c r="H21" s="120" t="s">
        <v>401</v>
      </c>
      <c r="I21" s="120" t="s">
        <v>263</v>
      </c>
    </row>
    <row r="22" spans="5:11" ht="14.45" x14ac:dyDescent="0.35">
      <c r="H22" s="115" t="s">
        <v>404</v>
      </c>
      <c r="I22" s="116">
        <v>115035.41</v>
      </c>
    </row>
    <row r="23" spans="5:11" ht="14.45" x14ac:dyDescent="0.35">
      <c r="H23" s="115" t="s">
        <v>402</v>
      </c>
      <c r="I23" s="116">
        <v>81508.3</v>
      </c>
    </row>
    <row r="24" spans="5:11" ht="14.45" x14ac:dyDescent="0.35">
      <c r="H24" s="115" t="s">
        <v>403</v>
      </c>
      <c r="I24" s="116">
        <v>75107.600000000006</v>
      </c>
    </row>
    <row r="25" spans="5:11" ht="14.45" x14ac:dyDescent="0.35">
      <c r="H25" s="115" t="s">
        <v>408</v>
      </c>
      <c r="I25" s="116">
        <v>62555.9</v>
      </c>
    </row>
    <row r="26" spans="5:11" ht="14.45" x14ac:dyDescent="0.35">
      <c r="H26" s="115" t="s">
        <v>407</v>
      </c>
      <c r="I26" s="116">
        <v>3591.9</v>
      </c>
    </row>
    <row r="27" spans="5:11" ht="14.45" x14ac:dyDescent="0.35">
      <c r="H27" s="115" t="s">
        <v>409</v>
      </c>
      <c r="I27" s="116">
        <v>2688.89</v>
      </c>
    </row>
    <row r="28" spans="5:11" ht="14.45" x14ac:dyDescent="0.35">
      <c r="H28" s="115" t="s">
        <v>405</v>
      </c>
      <c r="I28" s="116">
        <v>726</v>
      </c>
    </row>
    <row r="29" spans="5:11" ht="14.45" x14ac:dyDescent="0.35">
      <c r="H29" s="115" t="s">
        <v>406</v>
      </c>
      <c r="I29" s="116">
        <v>192.17</v>
      </c>
    </row>
    <row r="30" spans="5:11" ht="14.45" x14ac:dyDescent="0.35">
      <c r="H30" s="117" t="s">
        <v>16</v>
      </c>
      <c r="I30" s="118">
        <f>SUM(I22:I29)</f>
        <v>341406.1700000001</v>
      </c>
    </row>
    <row r="31" spans="5:11" thickBot="1" x14ac:dyDescent="0.4"/>
    <row r="32" spans="5:11" thickBot="1" x14ac:dyDescent="0.4">
      <c r="J32" s="91" t="s">
        <v>431</v>
      </c>
      <c r="K32" s="92" t="s">
        <v>381</v>
      </c>
    </row>
    <row r="33" spans="10:13" thickBot="1" x14ac:dyDescent="0.4">
      <c r="J33" s="15" t="s">
        <v>432</v>
      </c>
      <c r="K33" s="86">
        <v>287658</v>
      </c>
    </row>
    <row r="34" spans="10:13" thickBot="1" x14ac:dyDescent="0.4">
      <c r="J34" s="15" t="s">
        <v>433</v>
      </c>
      <c r="K34" s="86">
        <v>9697</v>
      </c>
    </row>
    <row r="35" spans="10:13" thickBot="1" x14ac:dyDescent="0.4">
      <c r="J35" s="15" t="s">
        <v>434</v>
      </c>
      <c r="K35" s="86">
        <v>1909</v>
      </c>
    </row>
    <row r="36" spans="10:13" thickBot="1" x14ac:dyDescent="0.4">
      <c r="J36" s="17" t="s">
        <v>16</v>
      </c>
      <c r="K36" s="99">
        <f>SUM(K33:K35)</f>
        <v>299264</v>
      </c>
    </row>
    <row r="37" spans="10:13" thickBot="1" x14ac:dyDescent="0.4">
      <c r="L37" s="91" t="s">
        <v>435</v>
      </c>
      <c r="M37" s="92" t="s">
        <v>381</v>
      </c>
    </row>
    <row r="38" spans="10:13" ht="15.75" thickBot="1" x14ac:dyDescent="0.3">
      <c r="L38" s="15" t="s">
        <v>438</v>
      </c>
      <c r="M38" s="86">
        <v>263600</v>
      </c>
    </row>
    <row r="39" spans="10:13" thickBot="1" x14ac:dyDescent="0.4">
      <c r="L39" s="15" t="s">
        <v>437</v>
      </c>
      <c r="M39" s="86">
        <v>352387</v>
      </c>
    </row>
    <row r="40" spans="10:13" thickBot="1" x14ac:dyDescent="0.4">
      <c r="L40" s="15" t="s">
        <v>441</v>
      </c>
      <c r="M40" s="86">
        <v>172060</v>
      </c>
    </row>
    <row r="41" spans="10:13" thickBot="1" x14ac:dyDescent="0.4">
      <c r="L41" s="15" t="s">
        <v>436</v>
      </c>
      <c r="M41" s="86">
        <v>43230</v>
      </c>
    </row>
    <row r="42" spans="10:13" thickBot="1" x14ac:dyDescent="0.4">
      <c r="L42" s="15" t="s">
        <v>443</v>
      </c>
      <c r="M42" s="86">
        <v>24205</v>
      </c>
    </row>
    <row r="43" spans="10:13" thickBot="1" x14ac:dyDescent="0.4">
      <c r="L43" s="15" t="s">
        <v>442</v>
      </c>
      <c r="M43" s="86">
        <v>13221</v>
      </c>
    </row>
    <row r="44" spans="10:13" thickBot="1" x14ac:dyDescent="0.4">
      <c r="L44" s="15" t="s">
        <v>444</v>
      </c>
      <c r="M44" s="86">
        <f>5697+2262+479+2499</f>
        <v>10937</v>
      </c>
    </row>
    <row r="45" spans="10:13" thickBot="1" x14ac:dyDescent="0.4">
      <c r="L45" s="15" t="s">
        <v>440</v>
      </c>
      <c r="M45" s="86">
        <v>6939</v>
      </c>
    </row>
    <row r="46" spans="10:13" thickBot="1" x14ac:dyDescent="0.4">
      <c r="L46" s="15" t="s">
        <v>439</v>
      </c>
      <c r="M46" s="86">
        <v>2866</v>
      </c>
    </row>
    <row r="47" spans="10:13" thickBot="1" x14ac:dyDescent="0.4">
      <c r="L47" s="17" t="s">
        <v>16</v>
      </c>
      <c r="M47" s="99">
        <f>SUM(M38:M46)</f>
        <v>889445</v>
      </c>
    </row>
  </sheetData>
  <mergeCells count="1">
    <mergeCell ref="E19:F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59"/>
  <sheetViews>
    <sheetView workbookViewId="0">
      <selection activeCell="D18" sqref="D18"/>
    </sheetView>
  </sheetViews>
  <sheetFormatPr defaultRowHeight="15" x14ac:dyDescent="0.25"/>
  <cols>
    <col min="1" max="1" width="34.7109375" bestFit="1" customWidth="1"/>
    <col min="3" max="3" width="8.85546875" bestFit="1" customWidth="1"/>
    <col min="4" max="4" width="10" bestFit="1" customWidth="1"/>
    <col min="5" max="5" width="8.140625" bestFit="1" customWidth="1"/>
    <col min="6" max="6" width="27.140625" bestFit="1" customWidth="1"/>
    <col min="7" max="8" width="7.42578125" bestFit="1" customWidth="1"/>
    <col min="9" max="9" width="10" bestFit="1" customWidth="1"/>
    <col min="10" max="10" width="7.85546875" bestFit="1" customWidth="1"/>
    <col min="11" max="11" width="34.5703125" bestFit="1" customWidth="1"/>
    <col min="12" max="12" width="8.42578125" bestFit="1" customWidth="1"/>
    <col min="13" max="13" width="8.85546875" bestFit="1" customWidth="1"/>
    <col min="14" max="14" width="10" bestFit="1" customWidth="1"/>
    <col min="15" max="15" width="8.85546875" bestFit="1" customWidth="1"/>
    <col min="16" max="16" width="41.5703125" bestFit="1" customWidth="1"/>
    <col min="21" max="21" width="36.85546875" bestFit="1" customWidth="1"/>
    <col min="22" max="23" width="7.42578125" bestFit="1" customWidth="1"/>
    <col min="25" max="25" width="8.42578125" bestFit="1" customWidth="1"/>
  </cols>
  <sheetData>
    <row r="3" spans="1:10" thickBot="1" x14ac:dyDescent="0.4"/>
    <row r="4" spans="1:10" ht="15.75" thickBot="1" x14ac:dyDescent="0.3">
      <c r="A4" s="1" t="s">
        <v>0</v>
      </c>
      <c r="B4" s="161">
        <v>2021</v>
      </c>
      <c r="C4" s="161">
        <v>2020</v>
      </c>
      <c r="D4" s="163" t="s">
        <v>445</v>
      </c>
      <c r="E4" s="164"/>
    </row>
    <row r="5" spans="1:10" ht="15.75" thickBot="1" x14ac:dyDescent="0.3">
      <c r="A5" s="2" t="s">
        <v>1</v>
      </c>
      <c r="B5" s="162"/>
      <c r="C5" s="162"/>
      <c r="D5" s="3" t="s">
        <v>2</v>
      </c>
      <c r="E5" s="3" t="s">
        <v>3</v>
      </c>
    </row>
    <row r="6" spans="1:10" thickBot="1" x14ac:dyDescent="0.4">
      <c r="A6" s="4" t="s">
        <v>4</v>
      </c>
      <c r="B6" s="6">
        <v>789369</v>
      </c>
      <c r="C6" s="6">
        <v>575857</v>
      </c>
      <c r="D6" s="11">
        <f>+B6-C6</f>
        <v>213512</v>
      </c>
      <c r="E6" s="25">
        <f>((D6*100)/C6)/100</f>
        <v>0.37077260500436743</v>
      </c>
    </row>
    <row r="7" spans="1:10" thickBot="1" x14ac:dyDescent="0.4">
      <c r="A7" s="4" t="s">
        <v>5</v>
      </c>
      <c r="B7" s="6">
        <v>151400</v>
      </c>
      <c r="C7" s="6">
        <v>151400</v>
      </c>
      <c r="D7" s="55">
        <f t="shared" ref="D7:D11" si="0">+B7-C7</f>
        <v>0</v>
      </c>
      <c r="E7" s="25">
        <f t="shared" ref="E7:E12" si="1">((D7*100)/C7)/100</f>
        <v>0</v>
      </c>
    </row>
    <row r="8" spans="1:10" thickBot="1" x14ac:dyDescent="0.4">
      <c r="A8" s="4" t="s">
        <v>446</v>
      </c>
      <c r="B8" s="6">
        <v>125000</v>
      </c>
      <c r="C8" s="6">
        <v>125000</v>
      </c>
      <c r="D8" s="55">
        <f t="shared" si="0"/>
        <v>0</v>
      </c>
      <c r="E8" s="25">
        <f t="shared" si="1"/>
        <v>0</v>
      </c>
    </row>
    <row r="9" spans="1:10" thickBot="1" x14ac:dyDescent="0.4">
      <c r="A9" s="4" t="s">
        <v>7</v>
      </c>
      <c r="B9" s="6">
        <v>448832</v>
      </c>
      <c r="C9" s="6">
        <v>695544</v>
      </c>
      <c r="D9" s="11">
        <f t="shared" si="0"/>
        <v>-246712</v>
      </c>
      <c r="E9" s="13">
        <f t="shared" si="1"/>
        <v>-0.35470365641857304</v>
      </c>
    </row>
    <row r="10" spans="1:10" thickBot="1" x14ac:dyDescent="0.4">
      <c r="A10" s="134" t="s">
        <v>447</v>
      </c>
      <c r="B10" s="6">
        <v>79618</v>
      </c>
      <c r="C10" s="6">
        <v>0</v>
      </c>
      <c r="D10" s="11">
        <f t="shared" si="0"/>
        <v>79618</v>
      </c>
      <c r="E10" s="25">
        <v>1</v>
      </c>
    </row>
    <row r="11" spans="1:10" thickBot="1" x14ac:dyDescent="0.4">
      <c r="A11" s="4" t="s">
        <v>8</v>
      </c>
      <c r="B11" s="6">
        <v>250378</v>
      </c>
      <c r="C11" s="6">
        <v>450100</v>
      </c>
      <c r="D11" s="11">
        <f t="shared" si="0"/>
        <v>-199722</v>
      </c>
      <c r="E11" s="13">
        <f t="shared" si="1"/>
        <v>-0.44372806043101531</v>
      </c>
    </row>
    <row r="12" spans="1:10" thickBot="1" x14ac:dyDescent="0.4">
      <c r="A12" s="9" t="s">
        <v>9</v>
      </c>
      <c r="B12" s="10">
        <f>SUM(B6:B11)</f>
        <v>1844597</v>
      </c>
      <c r="C12" s="10">
        <f>SUM(C6:C11)</f>
        <v>1997901</v>
      </c>
      <c r="D12" s="12">
        <f>SUM(D6:D11)</f>
        <v>-153304</v>
      </c>
      <c r="E12" s="14">
        <f t="shared" si="1"/>
        <v>-7.673253079106522E-2</v>
      </c>
    </row>
    <row r="13" spans="1:10" ht="15.75" thickBot="1" x14ac:dyDescent="0.3">
      <c r="F13" s="1" t="s">
        <v>0</v>
      </c>
      <c r="G13" s="161">
        <v>2021</v>
      </c>
      <c r="H13" s="161">
        <v>2020</v>
      </c>
      <c r="I13" s="163" t="s">
        <v>10</v>
      </c>
      <c r="J13" s="164"/>
    </row>
    <row r="14" spans="1:10" ht="15.75" thickBot="1" x14ac:dyDescent="0.3">
      <c r="F14" s="2" t="s">
        <v>1</v>
      </c>
      <c r="G14" s="162"/>
      <c r="H14" s="162"/>
      <c r="I14" s="3" t="s">
        <v>2</v>
      </c>
      <c r="J14" s="3" t="s">
        <v>3</v>
      </c>
    </row>
    <row r="15" spans="1:10" thickBot="1" x14ac:dyDescent="0.4">
      <c r="C15" s="7">
        <f>((B6-C6)/C6)</f>
        <v>0.37077260500436743</v>
      </c>
      <c r="F15" s="4" t="s">
        <v>11</v>
      </c>
      <c r="G15" s="6">
        <f>789369-11963</f>
        <v>777406</v>
      </c>
      <c r="H15" s="6">
        <f>111006.63+1690.51+54501.5+29409.24+129490.62+7473+4319.85+2175.4+5443.44+3071.04+240.24+3373.35+4443.91+1608.88+1697.15+7780.57+7015.72+5911.74+9206.47+2965.09</f>
        <v>392824.34999999992</v>
      </c>
      <c r="I15" s="11">
        <f>+G15-H15</f>
        <v>384581.65000000008</v>
      </c>
      <c r="J15" s="25">
        <f t="shared" ref="J15:J17" si="2">((I15*100)/H15)/100</f>
        <v>0.97901683029578024</v>
      </c>
    </row>
    <row r="16" spans="1:10" thickBot="1" x14ac:dyDescent="0.4">
      <c r="F16" s="4" t="s">
        <v>12</v>
      </c>
      <c r="G16" s="6">
        <v>11963</v>
      </c>
      <c r="H16" s="6">
        <f>63805.3+15866.87+63805.3+6592.53*6</f>
        <v>183032.65</v>
      </c>
      <c r="I16" s="11">
        <f t="shared" ref="I16:I17" si="3">+G16-H16</f>
        <v>-171069.65</v>
      </c>
      <c r="J16" s="13">
        <f t="shared" si="2"/>
        <v>-0.9346400765109395</v>
      </c>
    </row>
    <row r="17" spans="2:15" thickBot="1" x14ac:dyDescent="0.4">
      <c r="B17">
        <v>100</v>
      </c>
      <c r="C17">
        <v>200</v>
      </c>
      <c r="D17" s="7">
        <f>((B17-C17)/C17)</f>
        <v>-0.5</v>
      </c>
      <c r="F17" s="9" t="s">
        <v>9</v>
      </c>
      <c r="G17" s="10">
        <f>SUM(G15:G16)</f>
        <v>789369</v>
      </c>
      <c r="H17" s="10">
        <f>SUM(H15:H16)</f>
        <v>575856.99999999988</v>
      </c>
      <c r="I17" s="12">
        <f t="shared" si="3"/>
        <v>213512.00000000012</v>
      </c>
      <c r="J17" s="28">
        <f t="shared" si="2"/>
        <v>0.37077260500436765</v>
      </c>
    </row>
    <row r="18" spans="2:15" ht="15.75" thickBot="1" x14ac:dyDescent="0.3">
      <c r="K18" s="166" t="s">
        <v>13</v>
      </c>
      <c r="L18" s="161">
        <v>2021</v>
      </c>
      <c r="M18" s="161">
        <v>2020</v>
      </c>
      <c r="N18" s="163" t="s">
        <v>448</v>
      </c>
      <c r="O18" s="164"/>
    </row>
    <row r="19" spans="2:15" ht="15.75" thickBot="1" x14ac:dyDescent="0.3">
      <c r="K19" s="167"/>
      <c r="L19" s="162"/>
      <c r="M19" s="162"/>
      <c r="N19" s="3" t="s">
        <v>2</v>
      </c>
      <c r="O19" s="3" t="s">
        <v>3</v>
      </c>
    </row>
    <row r="20" spans="2:15" thickBot="1" x14ac:dyDescent="0.4">
      <c r="K20" s="15" t="s">
        <v>14</v>
      </c>
      <c r="L20" s="16">
        <v>590929</v>
      </c>
      <c r="M20" s="16">
        <f>111006.53+1690.51+54501.5+29409.24</f>
        <v>196607.77999999997</v>
      </c>
      <c r="N20" s="22">
        <f>+L20-M20</f>
        <v>394321.22000000003</v>
      </c>
      <c r="O20" s="25">
        <f t="shared" ref="O20:O34" si="4">((N20*100)/M20)/100</f>
        <v>2.0056236838643926</v>
      </c>
    </row>
    <row r="21" spans="2:15" thickBot="1" x14ac:dyDescent="0.4">
      <c r="K21" s="15" t="s">
        <v>15</v>
      </c>
      <c r="L21" s="16">
        <v>0</v>
      </c>
      <c r="M21" s="16">
        <f>63805.3+15866.87</f>
        <v>79672.17</v>
      </c>
      <c r="N21" s="22">
        <f t="shared" ref="N21:N34" si="5">+L21-M21</f>
        <v>-79672.17</v>
      </c>
      <c r="O21" s="13">
        <f t="shared" si="4"/>
        <v>-1</v>
      </c>
    </row>
    <row r="22" spans="2:15" thickBot="1" x14ac:dyDescent="0.4">
      <c r="K22" s="17" t="s">
        <v>16</v>
      </c>
      <c r="L22" s="18">
        <f>SUM(L20:L21)</f>
        <v>590929</v>
      </c>
      <c r="M22" s="18">
        <f>SUM(M20:M21)</f>
        <v>276279.94999999995</v>
      </c>
      <c r="N22" s="23">
        <f t="shared" si="5"/>
        <v>314649.05000000005</v>
      </c>
      <c r="O22" s="28">
        <f t="shared" si="4"/>
        <v>1.1388776130877398</v>
      </c>
    </row>
    <row r="23" spans="2:15" thickBot="1" x14ac:dyDescent="0.4">
      <c r="K23" s="15" t="s">
        <v>17</v>
      </c>
      <c r="L23" s="16">
        <v>73193</v>
      </c>
      <c r="M23" s="16">
        <v>129490.62</v>
      </c>
      <c r="N23" s="22">
        <f t="shared" si="5"/>
        <v>-56297.619999999995</v>
      </c>
      <c r="O23" s="13">
        <f t="shared" si="4"/>
        <v>-0.43476214725051127</v>
      </c>
    </row>
    <row r="24" spans="2:15" thickBot="1" x14ac:dyDescent="0.4">
      <c r="K24" s="15" t="s">
        <v>18</v>
      </c>
      <c r="L24" s="16">
        <v>0</v>
      </c>
      <c r="M24" s="16">
        <v>63805.3</v>
      </c>
      <c r="N24" s="22">
        <f t="shared" si="5"/>
        <v>-63805.3</v>
      </c>
      <c r="O24" s="13">
        <f t="shared" si="4"/>
        <v>-1</v>
      </c>
    </row>
    <row r="25" spans="2:15" thickBot="1" x14ac:dyDescent="0.4">
      <c r="K25" s="17" t="s">
        <v>16</v>
      </c>
      <c r="L25" s="18">
        <f>SUM(L23:L24)</f>
        <v>73193</v>
      </c>
      <c r="M25" s="18">
        <f>SUM(M23:M24)</f>
        <v>193295.91999999998</v>
      </c>
      <c r="N25" s="23">
        <f t="shared" si="5"/>
        <v>-120102.91999999998</v>
      </c>
      <c r="O25" s="14">
        <f t="shared" si="4"/>
        <v>-0.62134224043632169</v>
      </c>
    </row>
    <row r="26" spans="2:15" thickBot="1" x14ac:dyDescent="0.4">
      <c r="K26" s="15" t="s">
        <v>19</v>
      </c>
      <c r="L26" s="16">
        <v>78889.64</v>
      </c>
      <c r="M26" s="16">
        <f>7473+4319.85+2175.4+5443.44+3071.04+240.24+3373.35+4443.91+1608.88+1697.15+7780.57+7015.72+5911.74</f>
        <v>54554.29</v>
      </c>
      <c r="N26" s="22">
        <f t="shared" si="5"/>
        <v>24335.35</v>
      </c>
      <c r="O26" s="25">
        <f t="shared" si="4"/>
        <v>0.44607582648404004</v>
      </c>
    </row>
    <row r="27" spans="2:15" thickBot="1" x14ac:dyDescent="0.4">
      <c r="K27" s="15" t="s">
        <v>20</v>
      </c>
      <c r="L27" s="16">
        <v>0</v>
      </c>
      <c r="M27" s="16">
        <f>6592.53*6</f>
        <v>39555.18</v>
      </c>
      <c r="N27" s="22">
        <f t="shared" si="5"/>
        <v>-39555.18</v>
      </c>
      <c r="O27" s="13">
        <f t="shared" si="4"/>
        <v>-1</v>
      </c>
    </row>
    <row r="28" spans="2:15" thickBot="1" x14ac:dyDescent="0.4">
      <c r="K28" s="17" t="s">
        <v>16</v>
      </c>
      <c r="L28" s="18">
        <f>SUM(L26:L27)</f>
        <v>78889.64</v>
      </c>
      <c r="M28" s="18">
        <f>SUM(M26:M27)</f>
        <v>94109.47</v>
      </c>
      <c r="N28" s="23">
        <f t="shared" si="5"/>
        <v>-15219.830000000002</v>
      </c>
      <c r="O28" s="14">
        <f t="shared" si="4"/>
        <v>-0.16172474459796665</v>
      </c>
    </row>
    <row r="29" spans="2:15" thickBot="1" x14ac:dyDescent="0.4">
      <c r="K29" s="19" t="s">
        <v>21</v>
      </c>
      <c r="L29" s="20"/>
      <c r="M29" s="20"/>
      <c r="N29" s="22"/>
      <c r="O29" s="13"/>
    </row>
    <row r="30" spans="2:15" thickBot="1" x14ac:dyDescent="0.4">
      <c r="K30" s="15" t="s">
        <v>23</v>
      </c>
      <c r="L30" s="16">
        <v>6087.9</v>
      </c>
      <c r="M30" s="16">
        <v>9206.4699999999993</v>
      </c>
      <c r="N30" s="22">
        <f t="shared" si="5"/>
        <v>-3118.5699999999997</v>
      </c>
      <c r="O30" s="13">
        <f t="shared" si="4"/>
        <v>-0.33873677967777011</v>
      </c>
    </row>
    <row r="31" spans="2:15" thickBot="1" x14ac:dyDescent="0.4">
      <c r="K31" s="15" t="s">
        <v>24</v>
      </c>
      <c r="L31" s="16">
        <v>28306.36</v>
      </c>
      <c r="M31" s="16">
        <v>2965.09</v>
      </c>
      <c r="N31" s="22">
        <f t="shared" si="5"/>
        <v>25341.27</v>
      </c>
      <c r="O31" s="25">
        <f t="shared" si="4"/>
        <v>8.5465432752462824</v>
      </c>
    </row>
    <row r="32" spans="2:15" ht="15.75" thickBot="1" x14ac:dyDescent="0.3">
      <c r="K32" s="15" t="s">
        <v>25</v>
      </c>
      <c r="L32" s="16">
        <v>11962.75</v>
      </c>
      <c r="M32" s="16">
        <v>0</v>
      </c>
      <c r="N32" s="22">
        <f t="shared" si="5"/>
        <v>11962.75</v>
      </c>
      <c r="O32" s="25">
        <v>1</v>
      </c>
    </row>
    <row r="33" spans="11:25" ht="15.75" thickBot="1" x14ac:dyDescent="0.3">
      <c r="K33" s="17" t="s">
        <v>16</v>
      </c>
      <c r="L33" s="18">
        <f>SUM(L30:L32)</f>
        <v>46357.01</v>
      </c>
      <c r="M33" s="18">
        <f>SUM(M30:M32)</f>
        <v>12171.56</v>
      </c>
      <c r="N33" s="23">
        <f t="shared" si="5"/>
        <v>34185.450000000004</v>
      </c>
      <c r="O33" s="25">
        <f t="shared" si="4"/>
        <v>2.8086334044280279</v>
      </c>
    </row>
    <row r="34" spans="11:25" ht="15.75" thickBot="1" x14ac:dyDescent="0.3">
      <c r="K34" s="17" t="s">
        <v>16</v>
      </c>
      <c r="L34" s="18">
        <f>+L22+L25+L28+L33</f>
        <v>789368.65</v>
      </c>
      <c r="M34" s="18">
        <f>+M22+M25+M28+M33</f>
        <v>575856.9</v>
      </c>
      <c r="N34" s="23">
        <f t="shared" si="5"/>
        <v>213511.75</v>
      </c>
      <c r="O34" s="28">
        <f t="shared" si="4"/>
        <v>0.37077223525497394</v>
      </c>
    </row>
    <row r="35" spans="11:25" ht="15.75" thickBot="1" x14ac:dyDescent="0.3">
      <c r="P35" s="161" t="s">
        <v>26</v>
      </c>
      <c r="Q35" s="161">
        <v>2021</v>
      </c>
      <c r="R35" s="161">
        <v>2020</v>
      </c>
      <c r="S35" s="163" t="s">
        <v>445</v>
      </c>
      <c r="T35" s="164"/>
    </row>
    <row r="36" spans="11:25" ht="15.75" thickBot="1" x14ac:dyDescent="0.3">
      <c r="P36" s="165"/>
      <c r="Q36" s="162"/>
      <c r="R36" s="162"/>
      <c r="S36" s="3" t="s">
        <v>2</v>
      </c>
      <c r="T36" s="3" t="s">
        <v>3</v>
      </c>
    </row>
    <row r="37" spans="11:25" ht="15.75" thickBot="1" x14ac:dyDescent="0.3">
      <c r="P37" s="4" t="s">
        <v>38</v>
      </c>
      <c r="Q37" s="6">
        <v>0</v>
      </c>
      <c r="R37" s="6">
        <v>145552</v>
      </c>
      <c r="S37" s="11">
        <f t="shared" ref="S37:S44" si="6">+Q37-R37</f>
        <v>-145552</v>
      </c>
      <c r="T37" s="13">
        <f t="shared" ref="T37:T44" si="7">((S37*100)/R37)/100</f>
        <v>-1</v>
      </c>
    </row>
    <row r="38" spans="11:25" ht="15.75" thickBot="1" x14ac:dyDescent="0.3">
      <c r="P38" s="4" t="s">
        <v>39</v>
      </c>
      <c r="Q38" s="6">
        <v>0</v>
      </c>
      <c r="R38" s="6">
        <v>26749</v>
      </c>
      <c r="S38" s="11">
        <f t="shared" si="6"/>
        <v>-26749</v>
      </c>
      <c r="T38" s="13">
        <f t="shared" si="7"/>
        <v>-1</v>
      </c>
    </row>
    <row r="39" spans="11:25" ht="15.75" thickBot="1" x14ac:dyDescent="0.3">
      <c r="P39" s="4" t="s">
        <v>40</v>
      </c>
      <c r="Q39" s="6">
        <v>24842</v>
      </c>
      <c r="R39" s="6">
        <f>6000+13000</f>
        <v>19000</v>
      </c>
      <c r="S39" s="11">
        <f t="shared" si="6"/>
        <v>5842</v>
      </c>
      <c r="T39" s="25">
        <f t="shared" si="7"/>
        <v>0.30747368421052629</v>
      </c>
    </row>
    <row r="40" spans="11:25" ht="15.75" thickBot="1" x14ac:dyDescent="0.3">
      <c r="P40" s="4" t="s">
        <v>449</v>
      </c>
      <c r="Q40" s="6">
        <v>5469</v>
      </c>
      <c r="R40" s="6">
        <v>5488</v>
      </c>
      <c r="S40" s="11">
        <f t="shared" si="6"/>
        <v>-19</v>
      </c>
      <c r="T40" s="13">
        <f t="shared" si="7"/>
        <v>-3.4620991253644317E-3</v>
      </c>
    </row>
    <row r="41" spans="11:25" ht="15.75" thickBot="1" x14ac:dyDescent="0.3">
      <c r="P41" s="4" t="s">
        <v>450</v>
      </c>
      <c r="Q41" s="6">
        <v>48712</v>
      </c>
      <c r="R41" s="6">
        <v>43384.88</v>
      </c>
      <c r="S41" s="11">
        <f t="shared" ref="S41" si="8">+Q41-R41</f>
        <v>5327.1200000000026</v>
      </c>
      <c r="T41" s="25">
        <f t="shared" ref="T41" si="9">((S41*100)/R41)/100</f>
        <v>0.12278747803382199</v>
      </c>
    </row>
    <row r="42" spans="11:25" ht="15.75" thickBot="1" x14ac:dyDescent="0.3">
      <c r="P42" s="4" t="s">
        <v>43</v>
      </c>
      <c r="Q42" s="6">
        <v>595</v>
      </c>
      <c r="R42" s="6">
        <v>3213</v>
      </c>
      <c r="S42" s="11">
        <f t="shared" si="6"/>
        <v>-2618</v>
      </c>
      <c r="T42" s="13">
        <f t="shared" si="7"/>
        <v>-0.81481481481481477</v>
      </c>
    </row>
    <row r="43" spans="11:25" ht="15.75" thickBot="1" x14ac:dyDescent="0.3">
      <c r="P43" s="4" t="s">
        <v>44</v>
      </c>
      <c r="Q43" s="6">
        <v>0</v>
      </c>
      <c r="R43" s="6">
        <v>110112</v>
      </c>
      <c r="S43" s="11">
        <f t="shared" ref="S43" si="10">+Q43-R43</f>
        <v>-110112</v>
      </c>
      <c r="T43" s="13">
        <f t="shared" ref="T43" si="11">((S43*100)/R43)/100</f>
        <v>-1</v>
      </c>
    </row>
    <row r="44" spans="11:25" ht="15.75" thickBot="1" x14ac:dyDescent="0.3">
      <c r="P44" s="24" t="s">
        <v>45</v>
      </c>
      <c r="Q44" s="10">
        <f>SUM(Q37:Q43)</f>
        <v>79618</v>
      </c>
      <c r="R44" s="10">
        <f>SUM(R37:R43)</f>
        <v>353498.88</v>
      </c>
      <c r="S44" s="12">
        <f t="shared" si="6"/>
        <v>-273880.88</v>
      </c>
      <c r="T44" s="14">
        <f t="shared" si="7"/>
        <v>-0.77477156363267685</v>
      </c>
    </row>
    <row r="45" spans="11:25" ht="15.75" thickBot="1" x14ac:dyDescent="0.3">
      <c r="U45" s="161" t="s">
        <v>26</v>
      </c>
      <c r="V45" s="161">
        <v>2021</v>
      </c>
      <c r="W45" s="161">
        <v>2020</v>
      </c>
      <c r="X45" s="163" t="s">
        <v>445</v>
      </c>
      <c r="Y45" s="164"/>
    </row>
    <row r="46" spans="11:25" ht="15.75" thickBot="1" x14ac:dyDescent="0.3">
      <c r="U46" s="162"/>
      <c r="V46" s="162"/>
      <c r="W46" s="162"/>
      <c r="X46" s="3" t="s">
        <v>2</v>
      </c>
      <c r="Y46" s="3" t="s">
        <v>3</v>
      </c>
    </row>
    <row r="47" spans="11:25" ht="15.75" thickBot="1" x14ac:dyDescent="0.3">
      <c r="U47" s="4" t="s">
        <v>27</v>
      </c>
      <c r="V47" s="6">
        <v>6060.65</v>
      </c>
      <c r="W47" s="6">
        <v>3814</v>
      </c>
      <c r="X47" s="11">
        <f>+V47-W47</f>
        <v>2246.6499999999996</v>
      </c>
      <c r="Y47" s="25">
        <f t="shared" ref="Y47:Y59" si="12">((X47*100)/W47)/100</f>
        <v>0.58905348715259565</v>
      </c>
    </row>
    <row r="48" spans="11:25" ht="15.75" thickBot="1" x14ac:dyDescent="0.3">
      <c r="U48" s="4" t="s">
        <v>28</v>
      </c>
      <c r="V48" s="6">
        <v>168740</v>
      </c>
      <c r="W48" s="6">
        <v>66240</v>
      </c>
      <c r="X48" s="11">
        <f t="shared" ref="X48:X58" si="13">+V48-W48</f>
        <v>102500</v>
      </c>
      <c r="Y48" s="25">
        <f t="shared" si="12"/>
        <v>1.5474033816425119</v>
      </c>
    </row>
    <row r="49" spans="21:25" ht="15.75" thickBot="1" x14ac:dyDescent="0.3">
      <c r="U49" s="4" t="s">
        <v>29</v>
      </c>
      <c r="V49" s="6">
        <v>139799</v>
      </c>
      <c r="W49" s="6">
        <v>25677</v>
      </c>
      <c r="X49" s="11">
        <f t="shared" si="13"/>
        <v>114122</v>
      </c>
      <c r="Y49" s="25">
        <f t="shared" si="12"/>
        <v>4.4445223351637653</v>
      </c>
    </row>
    <row r="50" spans="21:25" ht="15.75" thickBot="1" x14ac:dyDescent="0.3">
      <c r="U50" s="4" t="s">
        <v>453</v>
      </c>
      <c r="V50" s="6">
        <f>4400+38000</f>
        <v>42400</v>
      </c>
      <c r="W50" s="6">
        <v>0</v>
      </c>
      <c r="X50" s="11">
        <f t="shared" ref="X50:X51" si="14">+V50-W50</f>
        <v>42400</v>
      </c>
      <c r="Y50" s="25">
        <v>1</v>
      </c>
    </row>
    <row r="51" spans="21:25" ht="15.75" thickBot="1" x14ac:dyDescent="0.3">
      <c r="U51" s="4" t="s">
        <v>454</v>
      </c>
      <c r="V51" s="6">
        <v>9000</v>
      </c>
      <c r="W51" s="6">
        <v>0</v>
      </c>
      <c r="X51" s="11">
        <f t="shared" si="14"/>
        <v>9000</v>
      </c>
      <c r="Y51" s="25">
        <v>1</v>
      </c>
    </row>
    <row r="52" spans="21:25" ht="15.75" thickBot="1" x14ac:dyDescent="0.3">
      <c r="U52" s="4" t="s">
        <v>30</v>
      </c>
      <c r="V52" s="6">
        <v>0</v>
      </c>
      <c r="W52" s="6">
        <v>138</v>
      </c>
      <c r="X52" s="11">
        <f t="shared" si="13"/>
        <v>-138</v>
      </c>
      <c r="Y52" s="13">
        <f t="shared" si="12"/>
        <v>-1</v>
      </c>
    </row>
    <row r="53" spans="21:25" ht="15.75" thickBot="1" x14ac:dyDescent="0.3">
      <c r="U53" s="4" t="s">
        <v>31</v>
      </c>
      <c r="V53" s="6">
        <v>7026.5</v>
      </c>
      <c r="W53" s="6">
        <v>2745</v>
      </c>
      <c r="X53" s="11">
        <f t="shared" si="13"/>
        <v>4281.5</v>
      </c>
      <c r="Y53" s="25">
        <f t="shared" si="12"/>
        <v>1.5597449908925318</v>
      </c>
    </row>
    <row r="54" spans="21:25" ht="15.75" thickBot="1" x14ac:dyDescent="0.3">
      <c r="U54" s="4" t="s">
        <v>33</v>
      </c>
      <c r="V54" s="6">
        <v>25931</v>
      </c>
      <c r="W54" s="6">
        <v>25000</v>
      </c>
      <c r="X54" s="11">
        <f t="shared" si="13"/>
        <v>931</v>
      </c>
      <c r="Y54" s="13">
        <f t="shared" si="12"/>
        <v>3.7240000000000002E-2</v>
      </c>
    </row>
    <row r="55" spans="21:25" ht="15.75" thickBot="1" x14ac:dyDescent="0.3">
      <c r="U55" s="4" t="s">
        <v>35</v>
      </c>
      <c r="V55" s="6">
        <v>0</v>
      </c>
      <c r="W55" s="6">
        <f>40000+11039</f>
        <v>51039</v>
      </c>
      <c r="X55" s="11">
        <f t="shared" si="13"/>
        <v>-51039</v>
      </c>
      <c r="Y55" s="13">
        <f t="shared" si="12"/>
        <v>-1</v>
      </c>
    </row>
    <row r="56" spans="21:25" ht="15.75" thickBot="1" x14ac:dyDescent="0.3">
      <c r="U56" s="4" t="s">
        <v>34</v>
      </c>
      <c r="V56" s="6">
        <v>0</v>
      </c>
      <c r="W56" s="6">
        <v>16900</v>
      </c>
      <c r="X56" s="11">
        <f t="shared" si="13"/>
        <v>-16900</v>
      </c>
      <c r="Y56" s="13">
        <v>1</v>
      </c>
    </row>
    <row r="57" spans="21:25" ht="15.75" thickBot="1" x14ac:dyDescent="0.3">
      <c r="U57" s="4" t="s">
        <v>451</v>
      </c>
      <c r="V57" s="6">
        <v>47078.2</v>
      </c>
      <c r="W57" s="6">
        <v>146117</v>
      </c>
      <c r="X57" s="11">
        <f t="shared" si="13"/>
        <v>-99038.8</v>
      </c>
      <c r="Y57" s="13">
        <f t="shared" si="12"/>
        <v>-0.67780477288748064</v>
      </c>
    </row>
    <row r="58" spans="21:25" ht="15.75" thickBot="1" x14ac:dyDescent="0.3">
      <c r="U58" s="4" t="s">
        <v>452</v>
      </c>
      <c r="V58" s="6">
        <v>2796.5</v>
      </c>
      <c r="W58" s="6">
        <v>4375.7</v>
      </c>
      <c r="X58" s="11">
        <f t="shared" si="13"/>
        <v>-1579.1999999999998</v>
      </c>
      <c r="Y58" s="13">
        <f t="shared" si="12"/>
        <v>-0.36090225563909767</v>
      </c>
    </row>
    <row r="59" spans="21:25" ht="15.75" thickBot="1" x14ac:dyDescent="0.3">
      <c r="U59" s="24" t="s">
        <v>16</v>
      </c>
      <c r="V59" s="10">
        <f>SUM(V47:V58)</f>
        <v>448831.85000000003</v>
      </c>
      <c r="W59" s="10">
        <f t="shared" ref="W59:X59" si="15">SUM(W47:W58)</f>
        <v>342045.7</v>
      </c>
      <c r="X59" s="54">
        <f t="shared" si="15"/>
        <v>106786.15000000002</v>
      </c>
      <c r="Y59" s="28">
        <f t="shared" si="12"/>
        <v>0.31219848692733171</v>
      </c>
    </row>
  </sheetData>
  <mergeCells count="18">
    <mergeCell ref="K18:K19"/>
    <mergeCell ref="L18:L19"/>
    <mergeCell ref="M18:M19"/>
    <mergeCell ref="N18:O18"/>
    <mergeCell ref="B4:B5"/>
    <mergeCell ref="C4:C5"/>
    <mergeCell ref="D4:E4"/>
    <mergeCell ref="G13:G14"/>
    <mergeCell ref="H13:H14"/>
    <mergeCell ref="I13:J13"/>
    <mergeCell ref="U45:U46"/>
    <mergeCell ref="V45:V46"/>
    <mergeCell ref="W45:W46"/>
    <mergeCell ref="X45:Y45"/>
    <mergeCell ref="P35:P36"/>
    <mergeCell ref="Q35:Q36"/>
    <mergeCell ref="R35:R36"/>
    <mergeCell ref="S35:T3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workbookViewId="0">
      <selection activeCell="F10" sqref="F10:J15"/>
    </sheetView>
  </sheetViews>
  <sheetFormatPr defaultRowHeight="15" x14ac:dyDescent="0.25"/>
  <cols>
    <col min="1" max="1" width="28.140625" bestFit="1" customWidth="1"/>
    <col min="2" max="3" width="9.85546875" bestFit="1" customWidth="1"/>
    <col min="4" max="4" width="9.5703125" bestFit="1" customWidth="1"/>
    <col min="5" max="5" width="7.42578125" bestFit="1" customWidth="1"/>
    <col min="6" max="6" width="30" bestFit="1" customWidth="1"/>
    <col min="7" max="8" width="8.85546875" bestFit="1" customWidth="1"/>
  </cols>
  <sheetData>
    <row r="2" spans="1:10" thickBot="1" x14ac:dyDescent="0.4"/>
    <row r="3" spans="1:10" ht="15.75" thickBot="1" x14ac:dyDescent="0.3">
      <c r="A3" s="29" t="s">
        <v>47</v>
      </c>
      <c r="B3" s="161">
        <v>2021</v>
      </c>
      <c r="C3" s="161">
        <v>2020</v>
      </c>
      <c r="D3" s="163" t="s">
        <v>445</v>
      </c>
      <c r="E3" s="164"/>
    </row>
    <row r="4" spans="1:10" ht="15.75" thickBot="1" x14ac:dyDescent="0.3">
      <c r="A4" s="30" t="s">
        <v>1</v>
      </c>
      <c r="B4" s="162"/>
      <c r="C4" s="162"/>
      <c r="D4" s="3" t="s">
        <v>2</v>
      </c>
      <c r="E4" s="3" t="s">
        <v>3</v>
      </c>
    </row>
    <row r="5" spans="1:10" thickBot="1" x14ac:dyDescent="0.4">
      <c r="A5" s="4" t="s">
        <v>48</v>
      </c>
      <c r="B5" s="6">
        <f>8812378+84629+507359</f>
        <v>9404366</v>
      </c>
      <c r="C5" s="6">
        <f>8253045+84629+561234</f>
        <v>8898908</v>
      </c>
      <c r="D5" s="33">
        <f>+B5-C5</f>
        <v>505458</v>
      </c>
      <c r="E5" s="25">
        <f t="shared" ref="E5:E8" si="0">((D5*100)/C5)/100</f>
        <v>5.6800002876757461E-2</v>
      </c>
    </row>
    <row r="6" spans="1:10" thickBot="1" x14ac:dyDescent="0.4">
      <c r="A6" s="4" t="s">
        <v>49</v>
      </c>
      <c r="B6" s="6">
        <v>2700000</v>
      </c>
      <c r="C6" s="6">
        <v>2500000</v>
      </c>
      <c r="D6" s="33">
        <f t="shared" ref="D6:D8" si="1">+B6-C6</f>
        <v>200000</v>
      </c>
      <c r="E6" s="25">
        <f t="shared" si="0"/>
        <v>0.08</v>
      </c>
    </row>
    <row r="7" spans="1:10" thickBot="1" x14ac:dyDescent="0.4">
      <c r="A7" s="4" t="s">
        <v>50</v>
      </c>
      <c r="B7" s="6">
        <v>200000</v>
      </c>
      <c r="C7" s="6">
        <v>200000</v>
      </c>
      <c r="D7" s="33">
        <f t="shared" ref="D7" si="2">+B7-C7</f>
        <v>0</v>
      </c>
      <c r="E7" s="25">
        <f t="shared" ref="E7" si="3">((D7*100)/C7)/100</f>
        <v>0</v>
      </c>
    </row>
    <row r="8" spans="1:10" thickBot="1" x14ac:dyDescent="0.4">
      <c r="A8" s="4" t="s">
        <v>51</v>
      </c>
      <c r="B8" s="6">
        <v>1000000</v>
      </c>
      <c r="C8" s="6">
        <v>1000000</v>
      </c>
      <c r="D8" s="33">
        <f t="shared" si="1"/>
        <v>0</v>
      </c>
      <c r="E8" s="25">
        <f t="shared" si="0"/>
        <v>0</v>
      </c>
    </row>
    <row r="9" spans="1:10" thickBot="1" x14ac:dyDescent="0.4">
      <c r="A9" s="9" t="s">
        <v>52</v>
      </c>
      <c r="B9" s="10">
        <f>SUM(B5:B8)</f>
        <v>13304366</v>
      </c>
      <c r="C9" s="10">
        <f>SUM(C5:C8)</f>
        <v>12598908</v>
      </c>
      <c r="D9" s="54">
        <f>SUM(D5:D8)</f>
        <v>705458</v>
      </c>
      <c r="E9" s="28">
        <f>((D9*100)/C9)/100</f>
        <v>5.599358293591794E-2</v>
      </c>
    </row>
    <row r="10" spans="1:10" ht="15.75" thickBot="1" x14ac:dyDescent="0.3">
      <c r="F10" s="1" t="s">
        <v>53</v>
      </c>
      <c r="G10" s="161">
        <v>2021</v>
      </c>
      <c r="H10" s="161">
        <v>2020</v>
      </c>
      <c r="I10" s="163" t="s">
        <v>445</v>
      </c>
      <c r="J10" s="164"/>
    </row>
    <row r="11" spans="1:10" ht="15.75" thickBot="1" x14ac:dyDescent="0.3">
      <c r="F11" s="2" t="s">
        <v>1</v>
      </c>
      <c r="G11" s="162"/>
      <c r="H11" s="162"/>
      <c r="I11" s="3" t="s">
        <v>2</v>
      </c>
      <c r="J11" s="3" t="s">
        <v>3</v>
      </c>
    </row>
    <row r="12" spans="1:10" thickBot="1" x14ac:dyDescent="0.4">
      <c r="F12" s="4" t="s">
        <v>54</v>
      </c>
      <c r="G12" s="6">
        <v>8812378</v>
      </c>
      <c r="H12" s="6">
        <v>8253045</v>
      </c>
      <c r="I12" s="33">
        <f t="shared" ref="I12" si="4">+G12-H12</f>
        <v>559333</v>
      </c>
      <c r="J12" s="25">
        <f t="shared" ref="J12" si="5">((I12*100)/H12)/100</f>
        <v>6.7772925023430741E-2</v>
      </c>
    </row>
    <row r="13" spans="1:10" thickBot="1" x14ac:dyDescent="0.4">
      <c r="F13" s="4" t="s">
        <v>55</v>
      </c>
      <c r="G13" s="6">
        <v>84629</v>
      </c>
      <c r="H13" s="6">
        <v>84629</v>
      </c>
      <c r="I13" s="33">
        <f t="shared" ref="I13:I14" si="6">+G13-H13</f>
        <v>0</v>
      </c>
      <c r="J13" s="25">
        <f t="shared" ref="J13:J14" si="7">((I13*100)/H13)/100</f>
        <v>0</v>
      </c>
    </row>
    <row r="14" spans="1:10" thickBot="1" x14ac:dyDescent="0.4">
      <c r="F14" s="4" t="s">
        <v>56</v>
      </c>
      <c r="G14" s="6">
        <v>507359</v>
      </c>
      <c r="H14" s="6">
        <v>561234</v>
      </c>
      <c r="I14" s="27">
        <f t="shared" si="6"/>
        <v>-53875</v>
      </c>
      <c r="J14" s="13">
        <f t="shared" si="7"/>
        <v>-9.5993827886407465E-2</v>
      </c>
    </row>
    <row r="15" spans="1:10" thickBot="1" x14ac:dyDescent="0.4">
      <c r="F15" s="9" t="s">
        <v>57</v>
      </c>
      <c r="G15" s="32">
        <f>SUM(G12:G14)</f>
        <v>9404366</v>
      </c>
      <c r="H15" s="32">
        <f>SUM(H12:H14)</f>
        <v>8898908</v>
      </c>
      <c r="I15" s="54">
        <f>SUM(I11:I14)</f>
        <v>505458</v>
      </c>
      <c r="J15" s="28">
        <f>((I15*100)/H15)/100</f>
        <v>5.6800002876757461E-2</v>
      </c>
    </row>
  </sheetData>
  <mergeCells count="6">
    <mergeCell ref="I10:J10"/>
    <mergeCell ref="B3:B4"/>
    <mergeCell ref="C3:C4"/>
    <mergeCell ref="D3:E3"/>
    <mergeCell ref="G10:G11"/>
    <mergeCell ref="H10:H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7" sqref="F7:J14"/>
    </sheetView>
  </sheetViews>
  <sheetFormatPr defaultRowHeight="15" x14ac:dyDescent="0.25"/>
  <cols>
    <col min="1" max="1" width="37.5703125" bestFit="1" customWidth="1"/>
    <col min="2" max="3" width="7.42578125" bestFit="1" customWidth="1"/>
    <col min="4" max="4" width="8" bestFit="1" customWidth="1"/>
    <col min="5" max="5" width="7.7109375" bestFit="1" customWidth="1"/>
    <col min="6" max="6" width="47.85546875" bestFit="1" customWidth="1"/>
    <col min="7" max="8" width="8.85546875" bestFit="1" customWidth="1"/>
    <col min="9" max="9" width="9.5703125" bestFit="1" customWidth="1"/>
    <col min="10" max="10" width="7.42578125" bestFit="1" customWidth="1"/>
  </cols>
  <sheetData>
    <row r="1" spans="1:10" ht="15.75" thickBot="1" x14ac:dyDescent="0.3">
      <c r="A1" s="29" t="s">
        <v>58</v>
      </c>
      <c r="B1" s="161">
        <v>2021</v>
      </c>
      <c r="C1" s="161">
        <v>2020</v>
      </c>
      <c r="D1" s="163" t="s">
        <v>445</v>
      </c>
      <c r="E1" s="164"/>
    </row>
    <row r="2" spans="1:10" ht="15.75" thickBot="1" x14ac:dyDescent="0.3">
      <c r="A2" s="30" t="s">
        <v>1</v>
      </c>
      <c r="B2" s="162"/>
      <c r="C2" s="162"/>
      <c r="D2" s="3" t="s">
        <v>2</v>
      </c>
      <c r="E2" s="3" t="s">
        <v>3</v>
      </c>
    </row>
    <row r="3" spans="1:10" thickBot="1" x14ac:dyDescent="0.4">
      <c r="A3" s="34" t="s">
        <v>59</v>
      </c>
      <c r="B3" s="6">
        <v>381794</v>
      </c>
      <c r="C3" s="6">
        <v>90951</v>
      </c>
      <c r="D3" s="33">
        <f t="shared" ref="D3:D6" si="0">+B3-C3</f>
        <v>290843</v>
      </c>
      <c r="E3" s="25">
        <f t="shared" ref="E3:E6" si="1">((D3*100)/C3)/100</f>
        <v>3.197798814746402</v>
      </c>
    </row>
    <row r="4" spans="1:10" thickBot="1" x14ac:dyDescent="0.4">
      <c r="A4" s="34" t="s">
        <v>60</v>
      </c>
      <c r="B4" s="6">
        <v>88161</v>
      </c>
      <c r="C4" s="6">
        <v>91715</v>
      </c>
      <c r="D4" s="27">
        <f t="shared" si="0"/>
        <v>-3554</v>
      </c>
      <c r="E4" s="13">
        <f t="shared" si="1"/>
        <v>-3.8750477021207E-2</v>
      </c>
    </row>
    <row r="5" spans="1:10" thickBot="1" x14ac:dyDescent="0.4">
      <c r="A5" s="34" t="s">
        <v>61</v>
      </c>
      <c r="B5" s="6">
        <v>47890</v>
      </c>
      <c r="C5" s="6">
        <v>18292</v>
      </c>
      <c r="D5" s="33">
        <f t="shared" si="0"/>
        <v>29598</v>
      </c>
      <c r="E5" s="25">
        <f t="shared" si="1"/>
        <v>1.6180844084845833</v>
      </c>
    </row>
    <row r="6" spans="1:10" thickBot="1" x14ac:dyDescent="0.4">
      <c r="A6" s="31" t="s">
        <v>62</v>
      </c>
      <c r="B6" s="32">
        <f>SUM(B3:B5)</f>
        <v>517845</v>
      </c>
      <c r="C6" s="32">
        <f>SUM(C3:C5)</f>
        <v>200958</v>
      </c>
      <c r="D6" s="33">
        <f t="shared" si="0"/>
        <v>316887</v>
      </c>
      <c r="E6" s="25">
        <f t="shared" si="1"/>
        <v>1.5768817364822498</v>
      </c>
    </row>
    <row r="7" spans="1:10" ht="15.75" thickBot="1" x14ac:dyDescent="0.3">
      <c r="F7" s="161" t="s">
        <v>63</v>
      </c>
      <c r="G7" s="161">
        <v>2021</v>
      </c>
      <c r="H7" s="161">
        <v>2020</v>
      </c>
      <c r="I7" s="163" t="s">
        <v>445</v>
      </c>
      <c r="J7" s="164"/>
    </row>
    <row r="8" spans="1:10" ht="15.75" thickBot="1" x14ac:dyDescent="0.3">
      <c r="F8" s="162"/>
      <c r="G8" s="162"/>
      <c r="H8" s="162"/>
      <c r="I8" s="3" t="s">
        <v>2</v>
      </c>
      <c r="J8" s="3" t="s">
        <v>3</v>
      </c>
    </row>
    <row r="9" spans="1:10" thickBot="1" x14ac:dyDescent="0.4">
      <c r="F9" s="4" t="s">
        <v>64</v>
      </c>
      <c r="G9" s="6">
        <v>3283430</v>
      </c>
      <c r="H9" s="6">
        <v>5641434</v>
      </c>
      <c r="I9" s="27">
        <f t="shared" ref="I9:I14" si="2">+G9-H9</f>
        <v>-2358004</v>
      </c>
      <c r="J9" s="13">
        <f t="shared" ref="J9:J14" si="3">((I9*100)/H9)/100</f>
        <v>-0.41797954208096733</v>
      </c>
    </row>
    <row r="10" spans="1:10" thickBot="1" x14ac:dyDescent="0.4">
      <c r="F10" s="4" t="s">
        <v>65</v>
      </c>
      <c r="G10" s="6">
        <v>1770783</v>
      </c>
      <c r="H10" s="6">
        <v>1824521</v>
      </c>
      <c r="I10" s="27">
        <f t="shared" si="2"/>
        <v>-53738</v>
      </c>
      <c r="J10" s="13">
        <f t="shared" si="3"/>
        <v>-2.9453209910984858E-2</v>
      </c>
    </row>
    <row r="11" spans="1:10" thickBot="1" x14ac:dyDescent="0.4">
      <c r="F11" s="4" t="s">
        <v>66</v>
      </c>
      <c r="G11" s="6">
        <v>199464</v>
      </c>
      <c r="H11" s="6">
        <v>205112</v>
      </c>
      <c r="I11" s="27">
        <f t="shared" si="2"/>
        <v>-5648</v>
      </c>
      <c r="J11" s="13">
        <f t="shared" si="3"/>
        <v>-2.7536175357853271E-2</v>
      </c>
    </row>
    <row r="12" spans="1:10" thickBot="1" x14ac:dyDescent="0.4">
      <c r="F12" s="4" t="s">
        <v>67</v>
      </c>
      <c r="G12" s="6">
        <v>453397</v>
      </c>
      <c r="H12" s="6">
        <v>291345</v>
      </c>
      <c r="I12" s="33">
        <f t="shared" si="2"/>
        <v>162052</v>
      </c>
      <c r="J12" s="25">
        <f t="shared" si="3"/>
        <v>0.55622028866120921</v>
      </c>
    </row>
    <row r="13" spans="1:10" thickBot="1" x14ac:dyDescent="0.4">
      <c r="F13" s="4" t="s">
        <v>68</v>
      </c>
      <c r="G13" s="6">
        <v>195543</v>
      </c>
      <c r="H13" s="6">
        <v>179560</v>
      </c>
      <c r="I13" s="33">
        <f t="shared" si="2"/>
        <v>15983</v>
      </c>
      <c r="J13" s="25">
        <f t="shared" si="3"/>
        <v>8.9012029405212745E-2</v>
      </c>
    </row>
    <row r="14" spans="1:10" thickBot="1" x14ac:dyDescent="0.4">
      <c r="F14" s="24" t="s">
        <v>16</v>
      </c>
      <c r="G14" s="10">
        <f>SUM(G9:G13)</f>
        <v>5902617</v>
      </c>
      <c r="H14" s="10">
        <f>SUM(H9:H13)</f>
        <v>8141972</v>
      </c>
      <c r="I14" s="26">
        <f t="shared" si="2"/>
        <v>-2239355</v>
      </c>
      <c r="J14" s="14">
        <f t="shared" si="3"/>
        <v>-0.27503840592917789</v>
      </c>
    </row>
  </sheetData>
  <mergeCells count="7">
    <mergeCell ref="H7:H8"/>
    <mergeCell ref="I7:J7"/>
    <mergeCell ref="B1:B2"/>
    <mergeCell ref="C1:C2"/>
    <mergeCell ref="D1:E1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opLeftCell="A45" zoomScale="90" zoomScaleNormal="90" workbookViewId="0">
      <selection activeCell="M47" sqref="M47"/>
    </sheetView>
  </sheetViews>
  <sheetFormatPr defaultRowHeight="15" x14ac:dyDescent="0.25"/>
  <cols>
    <col min="1" max="1" width="61.42578125" bestFit="1" customWidth="1"/>
    <col min="2" max="3" width="8.85546875" bestFit="1" customWidth="1"/>
    <col min="4" max="4" width="9.5703125" bestFit="1" customWidth="1"/>
    <col min="5" max="5" width="8.42578125" bestFit="1" customWidth="1"/>
    <col min="7" max="7" width="78" bestFit="1" customWidth="1"/>
    <col min="8" max="8" width="10.28515625" bestFit="1" customWidth="1"/>
    <col min="9" max="9" width="9.5703125" bestFit="1" customWidth="1"/>
    <col min="10" max="10" width="8.28515625" bestFit="1" customWidth="1"/>
    <col min="11" max="11" width="9.140625" bestFit="1" customWidth="1"/>
  </cols>
  <sheetData>
    <row r="1" spans="1:5" ht="15.75" thickBot="1" x14ac:dyDescent="0.3">
      <c r="A1" s="168" t="s">
        <v>69</v>
      </c>
      <c r="B1" s="161">
        <v>2021</v>
      </c>
      <c r="C1" s="161">
        <v>2020</v>
      </c>
      <c r="D1" s="163" t="s">
        <v>445</v>
      </c>
      <c r="E1" s="164"/>
    </row>
    <row r="2" spans="1:5" ht="15.75" thickBot="1" x14ac:dyDescent="0.3">
      <c r="A2" s="169"/>
      <c r="B2" s="162"/>
      <c r="C2" s="162"/>
      <c r="D2" s="3" t="s">
        <v>2</v>
      </c>
      <c r="E2" s="3" t="s">
        <v>3</v>
      </c>
    </row>
    <row r="3" spans="1:5" thickBot="1" x14ac:dyDescent="0.4">
      <c r="A3" s="4" t="s">
        <v>70</v>
      </c>
      <c r="B3" s="136">
        <v>255000</v>
      </c>
      <c r="C3" s="6">
        <v>0</v>
      </c>
      <c r="D3" s="33">
        <f t="shared" ref="D3:D37" si="0">+B3-C3</f>
        <v>255000</v>
      </c>
      <c r="E3" s="25">
        <v>1</v>
      </c>
    </row>
    <row r="4" spans="1:5" thickBot="1" x14ac:dyDescent="0.4">
      <c r="A4" s="4" t="s">
        <v>459</v>
      </c>
      <c r="B4" s="136">
        <v>105000</v>
      </c>
      <c r="C4" s="6">
        <v>0</v>
      </c>
      <c r="D4" s="33">
        <v>0</v>
      </c>
      <c r="E4" s="25">
        <v>1</v>
      </c>
    </row>
    <row r="5" spans="1:5" thickBot="1" x14ac:dyDescent="0.4">
      <c r="A5" s="4" t="s">
        <v>455</v>
      </c>
      <c r="B5" s="136">
        <v>9937</v>
      </c>
      <c r="C5" s="6">
        <v>0</v>
      </c>
      <c r="D5" s="33">
        <f t="shared" ref="D5" si="1">+B5-C5</f>
        <v>9937</v>
      </c>
      <c r="E5" s="25">
        <v>1</v>
      </c>
    </row>
    <row r="6" spans="1:5" thickBot="1" x14ac:dyDescent="0.4">
      <c r="A6" s="4" t="s">
        <v>456</v>
      </c>
      <c r="B6" s="136">
        <v>1214</v>
      </c>
      <c r="C6" s="6">
        <v>0</v>
      </c>
      <c r="D6" s="33">
        <f t="shared" ref="D6:D13" si="2">+B6-C6</f>
        <v>1214</v>
      </c>
      <c r="E6" s="25">
        <v>1</v>
      </c>
    </row>
    <row r="7" spans="1:5" thickBot="1" x14ac:dyDescent="0.4">
      <c r="A7" s="4" t="s">
        <v>457</v>
      </c>
      <c r="B7" s="136">
        <v>2950</v>
      </c>
      <c r="C7" s="6">
        <v>0</v>
      </c>
      <c r="D7" s="33">
        <f t="shared" si="2"/>
        <v>2950</v>
      </c>
      <c r="E7" s="25">
        <v>1</v>
      </c>
    </row>
    <row r="8" spans="1:5" thickBot="1" x14ac:dyDescent="0.4">
      <c r="A8" s="4" t="s">
        <v>136</v>
      </c>
      <c r="B8" s="136">
        <v>1006.41</v>
      </c>
      <c r="C8" s="6">
        <v>0</v>
      </c>
      <c r="D8" s="33">
        <f t="shared" si="2"/>
        <v>1006.41</v>
      </c>
      <c r="E8" s="25">
        <v>1</v>
      </c>
    </row>
    <row r="9" spans="1:5" thickBot="1" x14ac:dyDescent="0.4">
      <c r="A9" s="4" t="s">
        <v>458</v>
      </c>
      <c r="B9" s="136">
        <v>10400</v>
      </c>
      <c r="C9" s="6">
        <v>0</v>
      </c>
      <c r="D9" s="33">
        <f t="shared" si="2"/>
        <v>10400</v>
      </c>
      <c r="E9" s="25">
        <v>1</v>
      </c>
    </row>
    <row r="10" spans="1:5" thickBot="1" x14ac:dyDescent="0.4">
      <c r="A10" s="4" t="s">
        <v>128</v>
      </c>
      <c r="B10" s="136">
        <v>2620.1999999999998</v>
      </c>
      <c r="C10" s="6">
        <v>0</v>
      </c>
      <c r="D10" s="33">
        <f t="shared" si="2"/>
        <v>2620.1999999999998</v>
      </c>
      <c r="E10" s="25">
        <v>1</v>
      </c>
    </row>
    <row r="11" spans="1:5" thickBot="1" x14ac:dyDescent="0.4">
      <c r="A11" s="4" t="s">
        <v>460</v>
      </c>
      <c r="B11" s="136">
        <v>4980</v>
      </c>
      <c r="C11" s="6">
        <v>0</v>
      </c>
      <c r="D11" s="33">
        <f t="shared" si="2"/>
        <v>4980</v>
      </c>
      <c r="E11" s="25">
        <v>1</v>
      </c>
    </row>
    <row r="12" spans="1:5" thickBot="1" x14ac:dyDescent="0.4">
      <c r="A12" s="4" t="s">
        <v>461</v>
      </c>
      <c r="B12" s="136">
        <v>1150</v>
      </c>
      <c r="C12" s="6">
        <v>0</v>
      </c>
      <c r="D12" s="33">
        <f t="shared" si="2"/>
        <v>1150</v>
      </c>
      <c r="E12" s="25">
        <v>1</v>
      </c>
    </row>
    <row r="13" spans="1:5" thickBot="1" x14ac:dyDescent="0.4">
      <c r="A13" s="4" t="s">
        <v>462</v>
      </c>
      <c r="B13" s="136">
        <v>36000</v>
      </c>
      <c r="C13" s="6">
        <v>0</v>
      </c>
      <c r="D13" s="33">
        <f t="shared" si="2"/>
        <v>36000</v>
      </c>
      <c r="E13" s="25">
        <v>1</v>
      </c>
    </row>
    <row r="14" spans="1:5" thickBot="1" x14ac:dyDescent="0.4">
      <c r="A14" s="4" t="s">
        <v>72</v>
      </c>
      <c r="B14" s="136">
        <v>155000</v>
      </c>
      <c r="C14" s="6">
        <v>135000</v>
      </c>
      <c r="D14" s="33">
        <f t="shared" si="0"/>
        <v>20000</v>
      </c>
      <c r="E14" s="25">
        <f t="shared" ref="E14:E37" si="3">((D14*100)/C14)/100</f>
        <v>0.14814814814814814</v>
      </c>
    </row>
    <row r="15" spans="1:5" thickBot="1" x14ac:dyDescent="0.4">
      <c r="A15" s="4" t="s">
        <v>73</v>
      </c>
      <c r="B15" s="136">
        <v>161687.6</v>
      </c>
      <c r="C15" s="6">
        <v>63699.67</v>
      </c>
      <c r="D15" s="33">
        <f t="shared" si="0"/>
        <v>97987.930000000008</v>
      </c>
      <c r="E15" s="25">
        <f t="shared" si="3"/>
        <v>1.5382800256265066</v>
      </c>
    </row>
    <row r="16" spans="1:5" thickBot="1" x14ac:dyDescent="0.4">
      <c r="A16" s="4" t="s">
        <v>74</v>
      </c>
      <c r="B16" s="136">
        <v>14967.56</v>
      </c>
      <c r="C16" s="6">
        <v>0</v>
      </c>
      <c r="D16" s="33">
        <f t="shared" si="0"/>
        <v>14967.56</v>
      </c>
      <c r="E16" s="25">
        <v>1</v>
      </c>
    </row>
    <row r="17" spans="1:5" thickBot="1" x14ac:dyDescent="0.4">
      <c r="A17" s="4" t="s">
        <v>75</v>
      </c>
      <c r="B17" s="136">
        <v>923216.58</v>
      </c>
      <c r="C17" s="6">
        <v>738351.96</v>
      </c>
      <c r="D17" s="33">
        <f t="shared" si="0"/>
        <v>184864.62</v>
      </c>
      <c r="E17" s="25">
        <f t="shared" si="3"/>
        <v>0.2503746587196708</v>
      </c>
    </row>
    <row r="18" spans="1:5" thickBot="1" x14ac:dyDescent="0.4">
      <c r="A18" s="4" t="s">
        <v>76</v>
      </c>
      <c r="B18" s="136">
        <v>187393.3</v>
      </c>
      <c r="C18" s="6">
        <v>149167.39000000001</v>
      </c>
      <c r="D18" s="33">
        <f t="shared" si="0"/>
        <v>38225.909999999974</v>
      </c>
      <c r="E18" s="25">
        <f t="shared" si="3"/>
        <v>0.25626184114369749</v>
      </c>
    </row>
    <row r="19" spans="1:5" thickBot="1" x14ac:dyDescent="0.4">
      <c r="A19" s="4" t="s">
        <v>77</v>
      </c>
      <c r="B19" s="136">
        <v>674217.01</v>
      </c>
      <c r="C19" s="6">
        <v>540762.31000000006</v>
      </c>
      <c r="D19" s="33">
        <f t="shared" si="0"/>
        <v>133454.69999999995</v>
      </c>
      <c r="E19" s="25">
        <f t="shared" si="3"/>
        <v>0.24678994362606363</v>
      </c>
    </row>
    <row r="20" spans="1:5" thickBot="1" x14ac:dyDescent="0.4">
      <c r="A20" s="4" t="s">
        <v>78</v>
      </c>
      <c r="B20" s="136">
        <v>65672.600000000006</v>
      </c>
      <c r="C20" s="6">
        <v>55147.92</v>
      </c>
      <c r="D20" s="33">
        <f t="shared" si="0"/>
        <v>10524.680000000008</v>
      </c>
      <c r="E20" s="25">
        <f t="shared" si="3"/>
        <v>0.19084455043816714</v>
      </c>
    </row>
    <row r="21" spans="1:5" thickBot="1" x14ac:dyDescent="0.4">
      <c r="A21" s="4" t="s">
        <v>79</v>
      </c>
      <c r="B21" s="136">
        <v>138123.79</v>
      </c>
      <c r="C21" s="6">
        <v>110365.53</v>
      </c>
      <c r="D21" s="33">
        <f t="shared" si="0"/>
        <v>27758.260000000009</v>
      </c>
      <c r="E21" s="25">
        <f t="shared" si="3"/>
        <v>0.25151204366073365</v>
      </c>
    </row>
    <row r="22" spans="1:5" thickBot="1" x14ac:dyDescent="0.4">
      <c r="A22" s="4" t="s">
        <v>80</v>
      </c>
      <c r="B22" s="136">
        <v>22271.06</v>
      </c>
      <c r="C22" s="6">
        <v>23488.560000000001</v>
      </c>
      <c r="D22" s="27">
        <f t="shared" si="0"/>
        <v>-1217.5</v>
      </c>
      <c r="E22" s="13">
        <f t="shared" si="3"/>
        <v>-5.1833743745891614E-2</v>
      </c>
    </row>
    <row r="23" spans="1:5" thickBot="1" x14ac:dyDescent="0.4">
      <c r="A23" s="4" t="s">
        <v>81</v>
      </c>
      <c r="B23" s="136">
        <v>0</v>
      </c>
      <c r="C23" s="6">
        <v>3526.47</v>
      </c>
      <c r="D23" s="27">
        <f t="shared" si="0"/>
        <v>-3526.47</v>
      </c>
      <c r="E23" s="13">
        <f t="shared" si="3"/>
        <v>-1</v>
      </c>
    </row>
    <row r="24" spans="1:5" thickBot="1" x14ac:dyDescent="0.4">
      <c r="A24" s="4" t="s">
        <v>82</v>
      </c>
      <c r="B24" s="136">
        <v>1500</v>
      </c>
      <c r="C24" s="6">
        <v>4200</v>
      </c>
      <c r="D24" s="27">
        <f t="shared" si="0"/>
        <v>-2700</v>
      </c>
      <c r="E24" s="13">
        <f t="shared" si="3"/>
        <v>-0.6428571428571429</v>
      </c>
    </row>
    <row r="25" spans="1:5" thickBot="1" x14ac:dyDescent="0.4">
      <c r="A25" s="4" t="s">
        <v>83</v>
      </c>
      <c r="B25" s="136">
        <v>3000</v>
      </c>
      <c r="C25" s="6">
        <v>4600</v>
      </c>
      <c r="D25" s="27">
        <f t="shared" si="0"/>
        <v>-1600</v>
      </c>
      <c r="E25" s="13">
        <f t="shared" si="3"/>
        <v>-0.34782608695652173</v>
      </c>
    </row>
    <row r="26" spans="1:5" thickBot="1" x14ac:dyDescent="0.4">
      <c r="A26" s="4" t="s">
        <v>84</v>
      </c>
      <c r="B26" s="136">
        <v>10579</v>
      </c>
      <c r="C26" s="6">
        <v>10512.3</v>
      </c>
      <c r="D26" s="33">
        <f t="shared" si="0"/>
        <v>66.700000000000728</v>
      </c>
      <c r="E26" s="25">
        <f t="shared" si="3"/>
        <v>6.3449482986597354E-3</v>
      </c>
    </row>
    <row r="27" spans="1:5" thickBot="1" x14ac:dyDescent="0.4">
      <c r="A27" s="4" t="s">
        <v>85</v>
      </c>
      <c r="B27" s="136">
        <v>11600</v>
      </c>
      <c r="C27" s="6">
        <v>10700</v>
      </c>
      <c r="D27" s="33">
        <f t="shared" si="0"/>
        <v>900</v>
      </c>
      <c r="E27" s="25">
        <f t="shared" si="3"/>
        <v>8.4112149532710276E-2</v>
      </c>
    </row>
    <row r="28" spans="1:5" thickBot="1" x14ac:dyDescent="0.4">
      <c r="A28" s="4" t="s">
        <v>86</v>
      </c>
      <c r="B28" s="136">
        <v>54894</v>
      </c>
      <c r="C28" s="6">
        <v>58347</v>
      </c>
      <c r="D28" s="27">
        <f t="shared" si="0"/>
        <v>-3453</v>
      </c>
      <c r="E28" s="13">
        <f t="shared" si="3"/>
        <v>-5.9180420587176714E-2</v>
      </c>
    </row>
    <row r="29" spans="1:5" thickBot="1" x14ac:dyDescent="0.4">
      <c r="A29" s="4" t="s">
        <v>87</v>
      </c>
      <c r="B29" s="136">
        <v>27963.75</v>
      </c>
      <c r="C29" s="6">
        <v>18339.71</v>
      </c>
      <c r="D29" s="33">
        <f t="shared" si="0"/>
        <v>9624.0400000000009</v>
      </c>
      <c r="E29" s="25">
        <f t="shared" si="3"/>
        <v>0.52476511351597177</v>
      </c>
    </row>
    <row r="30" spans="1:5" thickBot="1" x14ac:dyDescent="0.4">
      <c r="A30" s="4" t="s">
        <v>88</v>
      </c>
      <c r="B30" s="136">
        <v>5621.6</v>
      </c>
      <c r="C30" s="6">
        <v>2243</v>
      </c>
      <c r="D30" s="33">
        <f t="shared" si="0"/>
        <v>3378.6000000000004</v>
      </c>
      <c r="E30" s="25">
        <f t="shared" si="3"/>
        <v>1.5062862238074011</v>
      </c>
    </row>
    <row r="31" spans="1:5" thickBot="1" x14ac:dyDescent="0.4">
      <c r="A31" s="35" t="s">
        <v>89</v>
      </c>
      <c r="B31" s="135">
        <v>11295.16</v>
      </c>
      <c r="C31" s="36">
        <v>10426.49</v>
      </c>
      <c r="D31" s="33">
        <f t="shared" si="0"/>
        <v>868.67000000000007</v>
      </c>
      <c r="E31" s="25">
        <f t="shared" si="3"/>
        <v>8.3313751799502997E-2</v>
      </c>
    </row>
    <row r="32" spans="1:5" thickBot="1" x14ac:dyDescent="0.4">
      <c r="A32" s="39" t="s">
        <v>91</v>
      </c>
      <c r="B32" s="137">
        <v>157414.17000000001</v>
      </c>
      <c r="C32" s="40">
        <v>48021.9</v>
      </c>
      <c r="D32" s="33">
        <f t="shared" si="0"/>
        <v>109392.27000000002</v>
      </c>
      <c r="E32" s="25">
        <f t="shared" si="3"/>
        <v>2.2779663028743138</v>
      </c>
    </row>
    <row r="33" spans="1:13" thickBot="1" x14ac:dyDescent="0.4">
      <c r="A33" s="39" t="s">
        <v>92</v>
      </c>
      <c r="B33" s="137">
        <v>20601</v>
      </c>
      <c r="C33" s="40">
        <v>23292.36</v>
      </c>
      <c r="D33" s="27">
        <f t="shared" si="0"/>
        <v>-2691.3600000000006</v>
      </c>
      <c r="E33" s="13">
        <f t="shared" si="3"/>
        <v>-0.11554690035702697</v>
      </c>
    </row>
    <row r="34" spans="1:13" thickBot="1" x14ac:dyDescent="0.4">
      <c r="A34" s="39" t="s">
        <v>93</v>
      </c>
      <c r="B34" s="137">
        <v>34443.18</v>
      </c>
      <c r="C34" s="40">
        <v>38636.75</v>
      </c>
      <c r="D34" s="27">
        <f t="shared" si="0"/>
        <v>-4193.57</v>
      </c>
      <c r="E34" s="13">
        <f t="shared" si="3"/>
        <v>-0.10853837343979501</v>
      </c>
    </row>
    <row r="35" spans="1:13" thickBot="1" x14ac:dyDescent="0.4">
      <c r="A35" s="39" t="s">
        <v>94</v>
      </c>
      <c r="B35" s="137">
        <v>71605.42</v>
      </c>
      <c r="C35" s="40">
        <v>46282.09</v>
      </c>
      <c r="D35" s="33">
        <f t="shared" si="0"/>
        <v>25323.33</v>
      </c>
      <c r="E35" s="25">
        <f t="shared" si="3"/>
        <v>0.54715182482035718</v>
      </c>
    </row>
    <row r="36" spans="1:13" thickBot="1" x14ac:dyDescent="0.4">
      <c r="A36" s="35" t="s">
        <v>463</v>
      </c>
      <c r="B36" s="135">
        <v>106714</v>
      </c>
      <c r="C36" s="36">
        <v>0</v>
      </c>
      <c r="D36" s="33">
        <f t="shared" si="0"/>
        <v>106714</v>
      </c>
      <c r="E36" s="25">
        <v>0</v>
      </c>
    </row>
    <row r="37" spans="1:13" thickBot="1" x14ac:dyDescent="0.4">
      <c r="A37" s="37" t="s">
        <v>16</v>
      </c>
      <c r="B37" s="38">
        <f>SUM(B3:B36)</f>
        <v>3290038.3900000006</v>
      </c>
      <c r="C37" s="38">
        <f>SUM(C3:C36)</f>
        <v>2095111.4100000001</v>
      </c>
      <c r="D37" s="54">
        <f t="shared" si="0"/>
        <v>1194926.9800000004</v>
      </c>
      <c r="E37" s="28">
        <f t="shared" si="3"/>
        <v>0.57034054336995876</v>
      </c>
    </row>
    <row r="38" spans="1:13" ht="15.75" thickBot="1" x14ac:dyDescent="0.3">
      <c r="B38" s="135">
        <v>3283430</v>
      </c>
    </row>
    <row r="39" spans="1:13" ht="15.75" thickBot="1" x14ac:dyDescent="0.3">
      <c r="B39" s="5">
        <f>+B38-B37</f>
        <v>-6608.390000000596</v>
      </c>
      <c r="G39" s="168" t="s">
        <v>95</v>
      </c>
      <c r="H39" s="161">
        <v>2021</v>
      </c>
      <c r="I39" s="161">
        <v>2020</v>
      </c>
      <c r="J39" s="163" t="s">
        <v>445</v>
      </c>
      <c r="K39" s="164"/>
    </row>
    <row r="40" spans="1:13" ht="15.75" thickBot="1" x14ac:dyDescent="0.3">
      <c r="G40" s="169"/>
      <c r="H40" s="162"/>
      <c r="I40" s="162"/>
      <c r="J40" s="3" t="s">
        <v>2</v>
      </c>
      <c r="K40" s="3" t="s">
        <v>3</v>
      </c>
    </row>
    <row r="41" spans="1:13" ht="15.75" thickBot="1" x14ac:dyDescent="0.3">
      <c r="G41" s="4" t="s">
        <v>96</v>
      </c>
      <c r="H41" s="151">
        <v>208334.18</v>
      </c>
      <c r="I41" s="11">
        <v>111398.62</v>
      </c>
      <c r="J41" s="33">
        <f t="shared" ref="J41:J87" si="4">+H41-I41</f>
        <v>96935.56</v>
      </c>
      <c r="K41" s="25">
        <f t="shared" ref="K41:K87" si="5">((J41*100)/I41)/100</f>
        <v>0.87016840962661846</v>
      </c>
    </row>
    <row r="42" spans="1:13" ht="15.75" thickBot="1" x14ac:dyDescent="0.3">
      <c r="G42" s="4" t="s">
        <v>97</v>
      </c>
      <c r="H42" s="151">
        <v>16392.48</v>
      </c>
      <c r="I42" s="11">
        <v>10228.879999999999</v>
      </c>
      <c r="J42" s="33">
        <f t="shared" si="4"/>
        <v>6163.6</v>
      </c>
      <c r="K42" s="25">
        <f t="shared" si="5"/>
        <v>0.60256841413722717</v>
      </c>
    </row>
    <row r="43" spans="1:13" ht="15.75" thickBot="1" x14ac:dyDescent="0.3">
      <c r="G43" s="4" t="s">
        <v>98</v>
      </c>
      <c r="H43" s="151">
        <v>5745.06</v>
      </c>
      <c r="I43" s="11">
        <v>5170.4399999999996</v>
      </c>
      <c r="J43" s="33">
        <f t="shared" ref="J43:J86" si="6">+H43-I43</f>
        <v>574.6200000000008</v>
      </c>
      <c r="K43" s="25">
        <f t="shared" ref="K43:K86" si="7">((J43*100)/I43)/100</f>
        <v>0.11113560934852756</v>
      </c>
    </row>
    <row r="44" spans="1:13" ht="15.75" thickBot="1" x14ac:dyDescent="0.3">
      <c r="G44" s="4" t="s">
        <v>99</v>
      </c>
      <c r="H44" s="153">
        <v>40886.629999999997</v>
      </c>
      <c r="I44" s="11">
        <v>37589.339999999997</v>
      </c>
      <c r="J44" s="33">
        <f t="shared" si="6"/>
        <v>3297.2900000000009</v>
      </c>
      <c r="K44" s="25">
        <f t="shared" si="7"/>
        <v>8.7718752178144163E-2</v>
      </c>
    </row>
    <row r="45" spans="1:13" ht="15.75" thickBot="1" x14ac:dyDescent="0.3">
      <c r="G45" s="4" t="s">
        <v>100</v>
      </c>
      <c r="H45" s="11">
        <v>365814.56</v>
      </c>
      <c r="I45" s="11">
        <v>301692.07</v>
      </c>
      <c r="J45" s="33">
        <f t="shared" si="6"/>
        <v>64122.489999999991</v>
      </c>
      <c r="K45" s="25">
        <f t="shared" si="7"/>
        <v>0.21254284211050023</v>
      </c>
    </row>
    <row r="46" spans="1:13" ht="15.75" thickBot="1" x14ac:dyDescent="0.3">
      <c r="G46" s="4" t="s">
        <v>101</v>
      </c>
      <c r="H46" s="152">
        <v>230071.57</v>
      </c>
      <c r="I46" s="11">
        <v>150919.56</v>
      </c>
      <c r="J46" s="33">
        <f t="shared" si="6"/>
        <v>79152.010000000009</v>
      </c>
      <c r="K46" s="25">
        <f t="shared" si="7"/>
        <v>0.52446488712265005</v>
      </c>
      <c r="M46" s="51">
        <f>+H45+H48+H50+H53+H54+H55+H57+H59+H62+H63+H67+H68+H69+H70+H71+H79+H81+H82</f>
        <v>806194.5399999998</v>
      </c>
    </row>
    <row r="47" spans="1:13" ht="15.75" thickBot="1" x14ac:dyDescent="0.3">
      <c r="G47" s="4" t="s">
        <v>129</v>
      </c>
      <c r="H47" s="152">
        <v>2345</v>
      </c>
      <c r="I47" s="11">
        <v>11930</v>
      </c>
      <c r="J47" s="27">
        <f t="shared" si="6"/>
        <v>-9585</v>
      </c>
      <c r="K47" s="13">
        <f t="shared" si="7"/>
        <v>-0.80343671416596818</v>
      </c>
    </row>
    <row r="48" spans="1:13" ht="15.75" thickBot="1" x14ac:dyDescent="0.3">
      <c r="G48" s="4" t="s">
        <v>130</v>
      </c>
      <c r="H48" s="11">
        <v>52940</v>
      </c>
      <c r="I48" s="11">
        <v>49810.55</v>
      </c>
      <c r="J48" s="33">
        <f t="shared" si="6"/>
        <v>3129.4499999999971</v>
      </c>
      <c r="K48" s="25">
        <f t="shared" si="7"/>
        <v>6.2827051698887026E-2</v>
      </c>
    </row>
    <row r="49" spans="7:13" ht="15.75" thickBot="1" x14ac:dyDescent="0.3">
      <c r="G49" s="4" t="s">
        <v>102</v>
      </c>
      <c r="H49" s="154">
        <v>24163.86</v>
      </c>
      <c r="I49" s="11">
        <v>2536.14</v>
      </c>
      <c r="J49" s="33">
        <f t="shared" si="6"/>
        <v>21627.72</v>
      </c>
      <c r="K49" s="25">
        <f t="shared" si="7"/>
        <v>8.5278099789443811</v>
      </c>
    </row>
    <row r="50" spans="7:13" ht="15.75" thickBot="1" x14ac:dyDescent="0.3">
      <c r="G50" s="4" t="s">
        <v>103</v>
      </c>
      <c r="H50" s="11">
        <v>95382.54</v>
      </c>
      <c r="I50" s="11">
        <v>38720.230000000003</v>
      </c>
      <c r="J50" s="33">
        <f t="shared" si="6"/>
        <v>56662.30999999999</v>
      </c>
      <c r="K50" s="25">
        <f t="shared" si="7"/>
        <v>1.4633774127891284</v>
      </c>
      <c r="M50" s="51">
        <f>+H46+H47+H56+H64</f>
        <v>462473.35</v>
      </c>
    </row>
    <row r="51" spans="7:13" ht="15.75" thickBot="1" x14ac:dyDescent="0.3">
      <c r="G51" s="4" t="s">
        <v>104</v>
      </c>
      <c r="H51" s="151">
        <v>8914.56</v>
      </c>
      <c r="I51" s="11">
        <v>5818.51</v>
      </c>
      <c r="J51" s="33">
        <f t="shared" si="6"/>
        <v>3096.0499999999993</v>
      </c>
      <c r="K51" s="25">
        <f t="shared" si="7"/>
        <v>0.53210357978245282</v>
      </c>
    </row>
    <row r="52" spans="7:13" ht="15.75" thickBot="1" x14ac:dyDescent="0.3">
      <c r="G52" s="4" t="s">
        <v>105</v>
      </c>
      <c r="H52" s="151">
        <v>1583.44</v>
      </c>
      <c r="I52" s="11">
        <v>2908.9</v>
      </c>
      <c r="J52" s="27">
        <f t="shared" si="6"/>
        <v>-1325.46</v>
      </c>
      <c r="K52" s="13">
        <f t="shared" si="7"/>
        <v>-0.45565677747602185</v>
      </c>
    </row>
    <row r="53" spans="7:13" ht="15.75" thickBot="1" x14ac:dyDescent="0.3">
      <c r="G53" s="4" t="s">
        <v>106</v>
      </c>
      <c r="H53" s="11">
        <v>644.95000000000005</v>
      </c>
      <c r="I53" s="11">
        <v>356.35</v>
      </c>
      <c r="J53" s="33">
        <f t="shared" si="6"/>
        <v>288.60000000000002</v>
      </c>
      <c r="K53" s="25">
        <f t="shared" si="7"/>
        <v>0.80987792900238531</v>
      </c>
    </row>
    <row r="54" spans="7:13" ht="15.75" thickBot="1" x14ac:dyDescent="0.3">
      <c r="G54" s="4" t="s">
        <v>107</v>
      </c>
      <c r="H54" s="11">
        <f>10294.11-6608</f>
        <v>3686.1100000000006</v>
      </c>
      <c r="I54" s="11">
        <v>1509</v>
      </c>
      <c r="J54" s="33">
        <f t="shared" si="6"/>
        <v>2177.1100000000006</v>
      </c>
      <c r="K54" s="25">
        <f t="shared" si="7"/>
        <v>1.4427501656726311</v>
      </c>
    </row>
    <row r="55" spans="7:13" ht="15.75" thickBot="1" x14ac:dyDescent="0.3">
      <c r="G55" s="4" t="s">
        <v>108</v>
      </c>
      <c r="H55" s="11">
        <v>14015</v>
      </c>
      <c r="I55" s="11">
        <v>28119</v>
      </c>
      <c r="J55" s="27">
        <f t="shared" si="6"/>
        <v>-14104</v>
      </c>
      <c r="K55" s="13">
        <f t="shared" si="7"/>
        <v>-0.50158255983498701</v>
      </c>
    </row>
    <row r="56" spans="7:13" ht="15.75" thickBot="1" x14ac:dyDescent="0.3">
      <c r="G56" s="4" t="s">
        <v>109</v>
      </c>
      <c r="H56" s="152">
        <v>6469.4</v>
      </c>
      <c r="I56" s="11">
        <v>55076.4</v>
      </c>
      <c r="J56" s="27">
        <f t="shared" si="6"/>
        <v>-48607</v>
      </c>
      <c r="K56" s="13">
        <f t="shared" si="7"/>
        <v>-0.88253771125200631</v>
      </c>
    </row>
    <row r="57" spans="7:13" ht="15.75" thickBot="1" x14ac:dyDescent="0.3">
      <c r="G57" s="4" t="s">
        <v>110</v>
      </c>
      <c r="H57" s="11">
        <v>35708.94</v>
      </c>
      <c r="I57" s="11">
        <v>29690.44</v>
      </c>
      <c r="J57" s="33">
        <f t="shared" si="6"/>
        <v>6018.5000000000036</v>
      </c>
      <c r="K57" s="25">
        <f t="shared" si="7"/>
        <v>0.20270834652500952</v>
      </c>
    </row>
    <row r="58" spans="7:13" ht="15.75" thickBot="1" x14ac:dyDescent="0.3">
      <c r="G58" s="4" t="s">
        <v>111</v>
      </c>
      <c r="H58" s="11">
        <v>0</v>
      </c>
      <c r="I58" s="11">
        <v>1085</v>
      </c>
      <c r="J58" s="27">
        <f t="shared" si="6"/>
        <v>-1085</v>
      </c>
      <c r="K58" s="13">
        <f t="shared" si="7"/>
        <v>-1</v>
      </c>
    </row>
    <row r="59" spans="7:13" ht="15.75" thickBot="1" x14ac:dyDescent="0.3">
      <c r="G59" s="4" t="s">
        <v>112</v>
      </c>
      <c r="H59" s="11">
        <v>14934.11</v>
      </c>
      <c r="I59" s="11">
        <v>16629</v>
      </c>
      <c r="J59" s="27">
        <f t="shared" si="6"/>
        <v>-1694.8899999999994</v>
      </c>
      <c r="K59" s="13">
        <f t="shared" si="7"/>
        <v>-0.10192374766973357</v>
      </c>
    </row>
    <row r="60" spans="7:13" ht="15.75" thickBot="1" x14ac:dyDescent="0.3">
      <c r="G60" s="4" t="s">
        <v>113</v>
      </c>
      <c r="H60" s="11">
        <v>0</v>
      </c>
      <c r="I60" s="11">
        <v>398.72</v>
      </c>
      <c r="J60" s="27">
        <f t="shared" si="6"/>
        <v>-398.72</v>
      </c>
      <c r="K60" s="13">
        <f t="shared" si="7"/>
        <v>-1</v>
      </c>
    </row>
    <row r="61" spans="7:13" ht="15.75" thickBot="1" x14ac:dyDescent="0.3">
      <c r="G61" s="4" t="s">
        <v>140</v>
      </c>
      <c r="H61" s="11">
        <v>0</v>
      </c>
      <c r="I61" s="11">
        <v>6250</v>
      </c>
      <c r="J61" s="27">
        <f t="shared" si="6"/>
        <v>-6250</v>
      </c>
      <c r="K61" s="13">
        <f t="shared" si="7"/>
        <v>-1</v>
      </c>
    </row>
    <row r="62" spans="7:13" ht="15.75" thickBot="1" x14ac:dyDescent="0.3">
      <c r="G62" s="4" t="s">
        <v>114</v>
      </c>
      <c r="H62" s="11">
        <v>740</v>
      </c>
      <c r="I62" s="11">
        <v>12945.62</v>
      </c>
      <c r="J62" s="27">
        <f t="shared" si="6"/>
        <v>-12205.62</v>
      </c>
      <c r="K62" s="13">
        <f t="shared" si="7"/>
        <v>-0.94283780923586502</v>
      </c>
    </row>
    <row r="63" spans="7:13" ht="15.75" thickBot="1" x14ac:dyDescent="0.3">
      <c r="G63" s="4" t="s">
        <v>115</v>
      </c>
      <c r="H63" s="11">
        <v>128463.92</v>
      </c>
      <c r="I63" s="11">
        <v>68010.960000000006</v>
      </c>
      <c r="J63" s="33">
        <f t="shared" si="6"/>
        <v>60452.959999999992</v>
      </c>
      <c r="K63" s="25">
        <f t="shared" si="7"/>
        <v>0.88887085258023091</v>
      </c>
    </row>
    <row r="64" spans="7:13" ht="15.75" thickBot="1" x14ac:dyDescent="0.3">
      <c r="G64" s="4" t="s">
        <v>116</v>
      </c>
      <c r="H64" s="152">
        <v>223587.38</v>
      </c>
      <c r="I64" s="11">
        <v>238066.43</v>
      </c>
      <c r="J64" s="27">
        <f t="shared" si="6"/>
        <v>-14479.049999999988</v>
      </c>
      <c r="K64" s="13">
        <f t="shared" si="7"/>
        <v>-6.0819368778705966E-2</v>
      </c>
    </row>
    <row r="65" spans="7:13" ht="15.75" thickBot="1" x14ac:dyDescent="0.3">
      <c r="G65" s="4" t="s">
        <v>117</v>
      </c>
      <c r="H65" s="11">
        <v>0</v>
      </c>
      <c r="I65" s="11">
        <v>32000</v>
      </c>
      <c r="J65" s="27">
        <f t="shared" si="6"/>
        <v>-32000</v>
      </c>
      <c r="K65" s="13">
        <f t="shared" si="7"/>
        <v>-1</v>
      </c>
    </row>
    <row r="66" spans="7:13" ht="15.75" thickBot="1" x14ac:dyDescent="0.3">
      <c r="G66" s="4" t="s">
        <v>118</v>
      </c>
      <c r="H66" s="153">
        <v>6851</v>
      </c>
      <c r="I66" s="11">
        <v>22099.61</v>
      </c>
      <c r="J66" s="27">
        <f t="shared" si="6"/>
        <v>-15248.61</v>
      </c>
      <c r="K66" s="13">
        <f t="shared" si="7"/>
        <v>-0.68999452931522309</v>
      </c>
    </row>
    <row r="67" spans="7:13" ht="15.75" thickBot="1" x14ac:dyDescent="0.3">
      <c r="G67" s="4" t="s">
        <v>131</v>
      </c>
      <c r="H67" s="11">
        <v>3215</v>
      </c>
      <c r="I67" s="11">
        <v>195</v>
      </c>
      <c r="J67" s="27">
        <f t="shared" si="6"/>
        <v>3020</v>
      </c>
      <c r="K67" s="13">
        <f t="shared" si="7"/>
        <v>15.487179487179487</v>
      </c>
    </row>
    <row r="68" spans="7:13" ht="15.75" thickBot="1" x14ac:dyDescent="0.3">
      <c r="G68" s="4" t="s">
        <v>119</v>
      </c>
      <c r="H68" s="11">
        <v>81</v>
      </c>
      <c r="I68" s="11">
        <v>0</v>
      </c>
      <c r="J68" s="33">
        <f t="shared" si="6"/>
        <v>81</v>
      </c>
      <c r="K68" s="25">
        <v>1</v>
      </c>
    </row>
    <row r="69" spans="7:13" ht="15.75" thickBot="1" x14ac:dyDescent="0.3">
      <c r="G69" s="4" t="s">
        <v>120</v>
      </c>
      <c r="H69" s="11">
        <v>9088.5</v>
      </c>
      <c r="I69" s="11">
        <v>8300</v>
      </c>
      <c r="J69" s="33">
        <f t="shared" si="6"/>
        <v>788.5</v>
      </c>
      <c r="K69" s="25">
        <f t="shared" si="7"/>
        <v>9.5000000000000001E-2</v>
      </c>
      <c r="M69" s="51">
        <f>+H49+H80</f>
        <v>73865.679999999993</v>
      </c>
    </row>
    <row r="70" spans="7:13" ht="15.75" thickBot="1" x14ac:dyDescent="0.3">
      <c r="G70" s="4" t="s">
        <v>121</v>
      </c>
      <c r="H70" s="11">
        <v>51348.69</v>
      </c>
      <c r="I70" s="11">
        <v>18293.080000000002</v>
      </c>
      <c r="J70" s="33">
        <f t="shared" si="6"/>
        <v>33055.61</v>
      </c>
      <c r="K70" s="25">
        <f t="shared" si="7"/>
        <v>1.8070007893695319</v>
      </c>
    </row>
    <row r="71" spans="7:13" ht="15.75" thickBot="1" x14ac:dyDescent="0.3">
      <c r="G71" s="4" t="s">
        <v>122</v>
      </c>
      <c r="H71" s="11">
        <v>14400.95</v>
      </c>
      <c r="I71" s="11">
        <v>34562.519999999997</v>
      </c>
      <c r="J71" s="27">
        <f t="shared" si="6"/>
        <v>-20161.569999999996</v>
      </c>
      <c r="K71" s="13">
        <f t="shared" si="7"/>
        <v>-0.58333622664088147</v>
      </c>
    </row>
    <row r="72" spans="7:13" ht="15.75" thickBot="1" x14ac:dyDescent="0.3">
      <c r="G72" s="4" t="s">
        <v>132</v>
      </c>
      <c r="H72" s="11">
        <v>0</v>
      </c>
      <c r="I72" s="11">
        <v>1264.55</v>
      </c>
      <c r="J72" s="27">
        <f t="shared" si="6"/>
        <v>-1264.55</v>
      </c>
      <c r="K72" s="13">
        <f t="shared" si="7"/>
        <v>-1</v>
      </c>
    </row>
    <row r="73" spans="7:13" ht="15.75" thickBot="1" x14ac:dyDescent="0.3">
      <c r="G73" s="4" t="s">
        <v>133</v>
      </c>
      <c r="H73" s="11">
        <v>0</v>
      </c>
      <c r="I73" s="11">
        <v>106040</v>
      </c>
      <c r="J73" s="27">
        <f t="shared" si="6"/>
        <v>-106040</v>
      </c>
      <c r="K73" s="13">
        <f t="shared" si="7"/>
        <v>-1</v>
      </c>
    </row>
    <row r="74" spans="7:13" ht="15.75" thickBot="1" x14ac:dyDescent="0.3">
      <c r="G74" s="4" t="s">
        <v>134</v>
      </c>
      <c r="H74" s="11">
        <v>0</v>
      </c>
      <c r="I74" s="11">
        <v>1622.4</v>
      </c>
      <c r="J74" s="27">
        <f t="shared" si="6"/>
        <v>-1622.4</v>
      </c>
      <c r="K74" s="13">
        <f t="shared" si="7"/>
        <v>-1</v>
      </c>
    </row>
    <row r="75" spans="7:13" ht="15.75" thickBot="1" x14ac:dyDescent="0.3">
      <c r="G75" s="4" t="s">
        <v>135</v>
      </c>
      <c r="H75" s="11">
        <v>0</v>
      </c>
      <c r="I75" s="11">
        <v>5449.36</v>
      </c>
      <c r="J75" s="27">
        <f t="shared" si="6"/>
        <v>-5449.36</v>
      </c>
      <c r="K75" s="13">
        <f t="shared" si="7"/>
        <v>-1</v>
      </c>
    </row>
    <row r="76" spans="7:13" ht="15.75" thickBot="1" x14ac:dyDescent="0.3">
      <c r="G76" s="4" t="s">
        <v>124</v>
      </c>
      <c r="H76" s="11">
        <v>129898.41</v>
      </c>
      <c r="I76" s="11">
        <v>118717.26</v>
      </c>
      <c r="J76" s="33">
        <f t="shared" si="6"/>
        <v>11181.150000000009</v>
      </c>
      <c r="K76" s="25">
        <f t="shared" si="7"/>
        <v>9.4183019385723765E-2</v>
      </c>
    </row>
    <row r="77" spans="7:13" ht="15.75" thickBot="1" x14ac:dyDescent="0.3">
      <c r="G77" s="4" t="s">
        <v>464</v>
      </c>
      <c r="H77" s="151">
        <v>2750.42</v>
      </c>
      <c r="I77" s="11">
        <v>12458.99</v>
      </c>
      <c r="J77" s="27">
        <f t="shared" si="6"/>
        <v>-9708.57</v>
      </c>
      <c r="K77" s="13">
        <f t="shared" si="7"/>
        <v>-0.77924213760505467</v>
      </c>
    </row>
    <row r="78" spans="7:13" ht="15.75" thickBot="1" x14ac:dyDescent="0.3">
      <c r="G78" s="4" t="s">
        <v>137</v>
      </c>
      <c r="H78" s="11">
        <v>0</v>
      </c>
      <c r="I78" s="11">
        <v>3219.44</v>
      </c>
      <c r="J78" s="27">
        <f t="shared" si="6"/>
        <v>-3219.44</v>
      </c>
      <c r="K78" s="13">
        <f t="shared" si="7"/>
        <v>-1</v>
      </c>
    </row>
    <row r="79" spans="7:13" ht="15.75" thickBot="1" x14ac:dyDescent="0.3">
      <c r="G79" s="4" t="s">
        <v>125</v>
      </c>
      <c r="H79" s="11">
        <v>5335</v>
      </c>
      <c r="I79" s="11">
        <v>6323.41</v>
      </c>
      <c r="J79" s="27">
        <f t="shared" si="6"/>
        <v>-988.40999999999985</v>
      </c>
      <c r="K79" s="13">
        <f t="shared" si="7"/>
        <v>-0.15630964938221623</v>
      </c>
    </row>
    <row r="80" spans="7:13" ht="15.75" thickBot="1" x14ac:dyDescent="0.3">
      <c r="G80" s="4" t="s">
        <v>126</v>
      </c>
      <c r="H80" s="154">
        <v>49701.82</v>
      </c>
      <c r="I80" s="11">
        <v>49140.5</v>
      </c>
      <c r="J80" s="33">
        <f t="shared" si="6"/>
        <v>561.31999999999971</v>
      </c>
      <c r="K80" s="25">
        <f t="shared" si="7"/>
        <v>1.1422757196202719E-2</v>
      </c>
    </row>
    <row r="81" spans="7:11" ht="15.75" thickBot="1" x14ac:dyDescent="0.3">
      <c r="G81" s="4" t="s">
        <v>127</v>
      </c>
      <c r="H81" s="11">
        <v>4145.2700000000004</v>
      </c>
      <c r="I81" s="11">
        <v>6527.38</v>
      </c>
      <c r="J81" s="27">
        <f t="shared" si="6"/>
        <v>-2382.1099999999997</v>
      </c>
      <c r="K81" s="13">
        <f t="shared" si="7"/>
        <v>-0.36494121684351144</v>
      </c>
    </row>
    <row r="82" spans="7:11" ht="15.75" thickBot="1" x14ac:dyDescent="0.3">
      <c r="G82" s="4" t="s">
        <v>465</v>
      </c>
      <c r="H82" s="11">
        <v>6250</v>
      </c>
      <c r="I82" s="11">
        <v>0</v>
      </c>
      <c r="J82" s="33">
        <f t="shared" si="6"/>
        <v>6250</v>
      </c>
      <c r="K82" s="25">
        <v>1</v>
      </c>
    </row>
    <row r="83" spans="7:11" ht="15.75" thickBot="1" x14ac:dyDescent="0.3">
      <c r="G83" s="4" t="s">
        <v>466</v>
      </c>
      <c r="H83" s="151">
        <v>285.48</v>
      </c>
      <c r="I83" s="11">
        <v>0</v>
      </c>
      <c r="J83" s="33">
        <f t="shared" si="6"/>
        <v>285.48</v>
      </c>
      <c r="K83" s="25">
        <v>1</v>
      </c>
    </row>
    <row r="84" spans="7:11" ht="15.75" thickBot="1" x14ac:dyDescent="0.3">
      <c r="G84" s="39" t="s">
        <v>128</v>
      </c>
      <c r="H84" s="47">
        <v>0</v>
      </c>
      <c r="I84" s="47">
        <v>3049.8</v>
      </c>
      <c r="J84" s="27">
        <f t="shared" si="6"/>
        <v>-3049.8</v>
      </c>
      <c r="K84" s="13">
        <f t="shared" si="7"/>
        <v>-1</v>
      </c>
    </row>
    <row r="85" spans="7:11" ht="15.75" thickBot="1" x14ac:dyDescent="0.3">
      <c r="G85" s="4" t="s">
        <v>138</v>
      </c>
      <c r="H85" s="11">
        <v>0</v>
      </c>
      <c r="I85" s="11">
        <v>2990</v>
      </c>
      <c r="J85" s="27">
        <f t="shared" si="6"/>
        <v>-2990</v>
      </c>
      <c r="K85" s="13">
        <f t="shared" si="7"/>
        <v>-1</v>
      </c>
    </row>
    <row r="86" spans="7:11" ht="15.75" thickBot="1" x14ac:dyDescent="0.3">
      <c r="G86" s="35" t="s">
        <v>139</v>
      </c>
      <c r="H86" s="43">
        <v>0</v>
      </c>
      <c r="I86" s="43">
        <v>454.54</v>
      </c>
      <c r="J86" s="27">
        <f t="shared" si="6"/>
        <v>-454.54</v>
      </c>
      <c r="K86" s="13">
        <f t="shared" si="7"/>
        <v>-1</v>
      </c>
    </row>
    <row r="87" spans="7:11" ht="15.75" thickBot="1" x14ac:dyDescent="0.3">
      <c r="G87" s="37" t="s">
        <v>16</v>
      </c>
      <c r="H87" s="44">
        <f>SUM(H41:H86)</f>
        <v>1764175.2299999997</v>
      </c>
      <c r="I87" s="44">
        <f>SUM(I41:I86)</f>
        <v>1619568</v>
      </c>
      <c r="J87" s="54">
        <f t="shared" si="4"/>
        <v>144607.22999999975</v>
      </c>
      <c r="K87" s="28">
        <f t="shared" si="5"/>
        <v>8.9287532230816938E-2</v>
      </c>
    </row>
  </sheetData>
  <mergeCells count="8">
    <mergeCell ref="H39:H40"/>
    <mergeCell ref="I39:I40"/>
    <mergeCell ref="J39:K39"/>
    <mergeCell ref="A1:A2"/>
    <mergeCell ref="B1:B2"/>
    <mergeCell ref="C1:C2"/>
    <mergeCell ref="D1:E1"/>
    <mergeCell ref="G39:G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25</vt:i4>
      </vt:variant>
    </vt:vector>
  </HeadingPairs>
  <TitlesOfParts>
    <vt:vector size="25" baseType="lpstr">
      <vt:lpstr>IMMOBILIZZAZIONI</vt:lpstr>
      <vt:lpstr>COSTO DEL PERSONALE</vt:lpstr>
      <vt:lpstr>CREDITI</vt:lpstr>
      <vt:lpstr>PATRIMONIO NETTO</vt:lpstr>
      <vt:lpstr>FORNITORI</vt:lpstr>
      <vt:lpstr>BIGLIETTERIA</vt:lpstr>
      <vt:lpstr>CONTRIBUTI</vt:lpstr>
      <vt:lpstr>COSTI</vt:lpstr>
      <vt:lpstr>SERVIZI</vt:lpstr>
      <vt:lpstr>CONSULENZE</vt:lpstr>
      <vt:lpstr>BENI DI TERZI</vt:lpstr>
      <vt:lpstr>ricavi</vt:lpstr>
      <vt:lpstr>Foglio2</vt:lpstr>
      <vt:lpstr>Foglio3</vt:lpstr>
      <vt:lpstr>Foglio4</vt:lpstr>
      <vt:lpstr>Foglio5</vt:lpstr>
      <vt:lpstr>Foglio6</vt:lpstr>
      <vt:lpstr>Foglio7</vt:lpstr>
      <vt:lpstr>COSTO DEL PERSONALE21</vt:lpstr>
      <vt:lpstr>Foglio9</vt:lpstr>
      <vt:lpstr>ONERI GESTIONE</vt:lpstr>
      <vt:lpstr>COPERTINA</vt:lpstr>
      <vt:lpstr>CONTR.REV.</vt:lpstr>
      <vt:lpstr>INCASSI PUBBLICI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 Perrone</dc:creator>
  <cp:lastModifiedBy>Carmine</cp:lastModifiedBy>
  <cp:lastPrinted>2022-04-28T14:46:17Z</cp:lastPrinted>
  <dcterms:created xsi:type="dcterms:W3CDTF">2021-06-04T07:59:11Z</dcterms:created>
  <dcterms:modified xsi:type="dcterms:W3CDTF">2023-02-15T13:28:47Z</dcterms:modified>
</cp:coreProperties>
</file>